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920" windowHeight="3870" activeTab="0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>
    <definedName name="HTML_CodePage" hidden="1">1251</definedName>
    <definedName name="HTML_Control" hidden="1">{"'Лист2'!$B$32:$I$32"}</definedName>
    <definedName name="HTML_Description" hidden="1">""</definedName>
    <definedName name="HTML_Email" hidden="1">""</definedName>
    <definedName name="HTML_Header" hidden="1">"Лист2"</definedName>
    <definedName name="HTML_LastUpdate" hidden="1">"24.06.02"</definedName>
    <definedName name="HTML_LineAfter" hidden="1">FALSE</definedName>
    <definedName name="HTML_LineBefore" hidden="1">FALSE</definedName>
    <definedName name="HTML_Name" hidden="1">"k"</definedName>
    <definedName name="HTML_OBDlg2" hidden="1">TRUE</definedName>
    <definedName name="HTML_OBDlg4" hidden="1">TRUE</definedName>
    <definedName name="HTML_OS" hidden="1">0</definedName>
    <definedName name="HTML_PathFile" hidden="1">"D:\TMP\qwe\MyHTML.htm"</definedName>
    <definedName name="HTML_Title" hidden="1">"MedFizik-uch-pl_21a"</definedName>
    <definedName name="_xlnm.Print_Area" localSheetId="2">'Лист2'!$A$1:$AG$106</definedName>
    <definedName name="_xlnm.Print_Area" localSheetId="3">'Лист3'!$A$1:$Y$81</definedName>
  </definedNames>
  <calcPr fullCalcOnLoad="1" refMode="R1C1"/>
</workbook>
</file>

<file path=xl/sharedStrings.xml><?xml version="1.0" encoding="utf-8"?>
<sst xmlns="http://schemas.openxmlformats.org/spreadsheetml/2006/main" count="374" uniqueCount="149">
  <si>
    <t>Министерство образования Российской Федерации</t>
  </si>
  <si>
    <t>Кабардино-Балкарский государственный университет</t>
  </si>
  <si>
    <t xml:space="preserve">                 "УТВЕРЖДАЮ"</t>
  </si>
  <si>
    <t>"СОГЛАСОВАНО"</t>
  </si>
  <si>
    <t xml:space="preserve">Ректор КБГУ </t>
  </si>
  <si>
    <t xml:space="preserve"> Проректор по учебно-воспитательной работе</t>
  </si>
  <si>
    <t>профессор_____________ Карамурзов Б.С.</t>
  </si>
  <si>
    <t>КБГУ, проф._____________ Шебзухов А.А.</t>
  </si>
  <si>
    <t xml:space="preserve">      " ____ " __________________ 2001 г.</t>
  </si>
  <si>
    <t xml:space="preserve">              " ____ " __________________ 2001 г.</t>
  </si>
  <si>
    <t>РАБОЧИЙ УЧЕБНЫЙ ПЛАН</t>
  </si>
  <si>
    <t>Срок обучения 5 лет</t>
  </si>
  <si>
    <t>II. Сводные данные по бюджету</t>
  </si>
  <si>
    <t xml:space="preserve">             1.График учебного процесса</t>
  </si>
  <si>
    <t>КУРСЫ</t>
  </si>
  <si>
    <t>э</t>
  </si>
  <si>
    <t>~</t>
  </si>
  <si>
    <t>н</t>
  </si>
  <si>
    <t>х</t>
  </si>
  <si>
    <t>д</t>
  </si>
  <si>
    <t>Г</t>
  </si>
  <si>
    <t>о</t>
  </si>
  <si>
    <t>п</t>
  </si>
  <si>
    <t>Научн.-исслед.практика</t>
  </si>
  <si>
    <t>-</t>
  </si>
  <si>
    <t>Каникулы</t>
  </si>
  <si>
    <t>Отпуск</t>
  </si>
  <si>
    <t>Госуд.аттестация</t>
  </si>
  <si>
    <t>Подготовка дипломной работы</t>
  </si>
  <si>
    <t>III. ПЛАН УЧЕБНОГО ПРОЦЕССА</t>
  </si>
  <si>
    <t>Общий физический практикум</t>
  </si>
  <si>
    <t>Линейная алгебра</t>
  </si>
  <si>
    <t>Физическая кинетика</t>
  </si>
  <si>
    <t>ДСВ.00</t>
  </si>
  <si>
    <r>
      <t>Начальник учебного отдела КБГУ __________        _</t>
    </r>
    <r>
      <rPr>
        <u val="single"/>
        <sz val="9"/>
        <rFont val="Arial Cyr"/>
        <family val="2"/>
      </rPr>
      <t>Тутаришева Ц.Х.</t>
    </r>
    <r>
      <rPr>
        <sz val="9"/>
        <rFont val="Arial Cyr"/>
        <family val="2"/>
      </rPr>
      <t>____</t>
    </r>
  </si>
  <si>
    <t>СОГЛАСОВАНО с зав. кафедрами:</t>
  </si>
  <si>
    <t>Физика твердого тела</t>
  </si>
  <si>
    <t>____________</t>
  </si>
  <si>
    <t xml:space="preserve">          проф.  Хоконов Х.Б.           </t>
  </si>
  <si>
    <t xml:space="preserve">         кафедра</t>
  </si>
  <si>
    <t xml:space="preserve">    подпись</t>
  </si>
  <si>
    <t>фамилия, и., о.</t>
  </si>
  <si>
    <t>Экспериментальной физики</t>
  </si>
  <si>
    <t xml:space="preserve">          проф.  Карамурзов Б.С.      </t>
  </si>
  <si>
    <t>Геофизики и экологии</t>
  </si>
  <si>
    <t xml:space="preserve">          Акад.  Залиханов М.Ч.       </t>
  </si>
  <si>
    <t>Теоретической физики</t>
  </si>
  <si>
    <t>Общей физики</t>
  </si>
  <si>
    <t xml:space="preserve">          доц.  Азизов И.К.                </t>
  </si>
  <si>
    <t>ГСЭ.Р.00</t>
  </si>
  <si>
    <t>ГСЭ.Р.01</t>
  </si>
  <si>
    <t>Родной язык (антропология)</t>
  </si>
  <si>
    <t>ГСЭ.Р.02</t>
  </si>
  <si>
    <t>История народов КБР</t>
  </si>
  <si>
    <t>ГСЭВ.01</t>
  </si>
  <si>
    <t>ГСЭВ.02</t>
  </si>
  <si>
    <t>ГСЭВ.03</t>
  </si>
  <si>
    <t>ГСЭВ.04</t>
  </si>
  <si>
    <t>ГСЭВ.05</t>
  </si>
  <si>
    <t>ГСЭВ.06</t>
  </si>
  <si>
    <r>
      <t>Начальник учебного отдела КБГУ    __________        _</t>
    </r>
    <r>
      <rPr>
        <u val="single"/>
        <sz val="9"/>
        <rFont val="Arial Cyr"/>
        <family val="2"/>
      </rPr>
      <t>Тутаришева Ц.Х.</t>
    </r>
    <r>
      <rPr>
        <sz val="9"/>
        <rFont val="Arial Cyr"/>
        <family val="2"/>
      </rPr>
      <t>______</t>
    </r>
  </si>
  <si>
    <t xml:space="preserve">                                         (подпись)          фамилия, имя, отчество</t>
  </si>
  <si>
    <t xml:space="preserve">Физика твердого тела           </t>
  </si>
  <si>
    <t xml:space="preserve">Геофизики и экологии           </t>
  </si>
  <si>
    <t xml:space="preserve">Теоретической физики          </t>
  </si>
  <si>
    <t xml:space="preserve">Общей физики                         </t>
  </si>
  <si>
    <t>Курсовых работ</t>
  </si>
  <si>
    <t>№№ п.п.</t>
  </si>
  <si>
    <t>в том числе</t>
  </si>
  <si>
    <t>1 курс</t>
  </si>
  <si>
    <t>2 курс</t>
  </si>
  <si>
    <t>3 курс</t>
  </si>
  <si>
    <t>4 курс</t>
  </si>
  <si>
    <t>5 курс</t>
  </si>
  <si>
    <t>Количество недель в семестре</t>
  </si>
  <si>
    <t>Число часов в неделю</t>
  </si>
  <si>
    <t>IV. Факультативные дисциплины</t>
  </si>
  <si>
    <t>Название дисциплины</t>
  </si>
  <si>
    <t>Сем.</t>
  </si>
  <si>
    <t>Час.</t>
  </si>
  <si>
    <t>ВСЕГО ЧАСОВ УЧЕБНЫХ ЗАНЯТИЙ</t>
  </si>
  <si>
    <t>ЧИСЛО КУРСОВЫХ ПРОЕКТОВ</t>
  </si>
  <si>
    <t>ЧИСЛО КУРСОВЫХ РАБОТ</t>
  </si>
  <si>
    <t>ЧИСЛО ЭКЗАМЕНОВ</t>
  </si>
  <si>
    <t>ЧИСЛО ЗАЧЕТОВ</t>
  </si>
  <si>
    <t>Наименование практики</t>
  </si>
  <si>
    <t>V. Учебная практика</t>
  </si>
  <si>
    <t>Нед.</t>
  </si>
  <si>
    <t>VII. Итоговая государственная аттестация</t>
  </si>
  <si>
    <t>1.</t>
  </si>
  <si>
    <t>2.</t>
  </si>
  <si>
    <t>3.</t>
  </si>
  <si>
    <t>4.</t>
  </si>
  <si>
    <t>VI. Производственная практика</t>
  </si>
  <si>
    <t>отчество</t>
  </si>
  <si>
    <t xml:space="preserve">    подпись       фамилия, имя,</t>
  </si>
  <si>
    <t>1. Занятия по осовению новых компьютерных систем</t>
  </si>
  <si>
    <t>2. Занятия по иностранному языку</t>
  </si>
  <si>
    <t>3. Доп. занятия по физпрактикуму</t>
  </si>
  <si>
    <t>4. Занятия в спортивных секциях</t>
  </si>
  <si>
    <t>Защита выпускной квалификационной работы - 10 сем</t>
  </si>
  <si>
    <t>Распределение  по семестрам</t>
  </si>
  <si>
    <t>МИНИСТЕРСТВО ОБРАЗОВАНИЯ РФ</t>
  </si>
  <si>
    <t>ЕНР.00</t>
  </si>
  <si>
    <t>ЕНР.01</t>
  </si>
  <si>
    <t>ЕНВ.00</t>
  </si>
  <si>
    <t>ЕНВ.01</t>
  </si>
  <si>
    <t>ДСВ.01.01</t>
  </si>
  <si>
    <t>ДСВ.01.02</t>
  </si>
  <si>
    <t>ДСВ.01.03</t>
  </si>
  <si>
    <t>ДСВ.01.04</t>
  </si>
  <si>
    <t>ДСВ.01.05</t>
  </si>
  <si>
    <t>ДСВ.01.06</t>
  </si>
  <si>
    <t>ДСВ.01.07</t>
  </si>
  <si>
    <t>Биофизика неионизирующих излучений</t>
  </si>
  <si>
    <t>Основы интроскопии</t>
  </si>
  <si>
    <t>Спецпрактикум</t>
  </si>
  <si>
    <t>Курсовая работа</t>
  </si>
  <si>
    <t>Итоговый государственный экзамен по общепрофессиональным дисциплинам - 8 сем</t>
  </si>
  <si>
    <t>курсовая работа 8 сем</t>
  </si>
  <si>
    <t>Производственная практика</t>
  </si>
  <si>
    <t>Научно-исследовательская практика</t>
  </si>
  <si>
    <t>Электродинамика сплошных сред</t>
  </si>
  <si>
    <t>Основы механики сплошных сред</t>
  </si>
  <si>
    <r>
      <t xml:space="preserve">Декан (директор, зав. отделением)  __________      </t>
    </r>
    <r>
      <rPr>
        <u val="single"/>
        <sz val="9"/>
        <rFont val="Arial Cyr"/>
        <family val="2"/>
      </rPr>
      <t xml:space="preserve">  Хоконов М.Х.</t>
    </r>
    <r>
      <rPr>
        <sz val="9"/>
        <rFont val="Arial Cyr"/>
        <family val="2"/>
      </rPr>
      <t>_________</t>
    </r>
  </si>
  <si>
    <t xml:space="preserve">                 </t>
  </si>
  <si>
    <r>
      <t xml:space="preserve">Декан (директор, зав. отделением)__________      </t>
    </r>
    <r>
      <rPr>
        <u val="single"/>
        <sz val="9"/>
        <rFont val="Arial Cyr"/>
        <family val="2"/>
      </rPr>
      <t xml:space="preserve">  Хоконов М.Х.</t>
    </r>
    <r>
      <rPr>
        <sz val="9"/>
        <rFont val="Arial Cyr"/>
        <family val="2"/>
      </rPr>
      <t>_______</t>
    </r>
  </si>
  <si>
    <t>Биология</t>
  </si>
  <si>
    <t>Анатомия человека</t>
  </si>
  <si>
    <t>Физиология человека</t>
  </si>
  <si>
    <t>Медицинская биохимия</t>
  </si>
  <si>
    <t>СПЕЦИАЛЬНОСТЬ  014000 - Медицинская физика</t>
  </si>
  <si>
    <t>122334445  668</t>
  </si>
  <si>
    <t>111223333  4456</t>
  </si>
  <si>
    <t>1112222233  44567</t>
  </si>
  <si>
    <t>Специальность 014000 - Медицинская физика</t>
  </si>
  <si>
    <t>Физика белка</t>
  </si>
  <si>
    <t>Неравновесная термодинамика в биологии</t>
  </si>
  <si>
    <t>Аккустические методы в медицине</t>
  </si>
  <si>
    <t>566777888   99</t>
  </si>
  <si>
    <t>567888 99</t>
  </si>
  <si>
    <t xml:space="preserve"> Психология и педагогика</t>
  </si>
  <si>
    <t>Философия</t>
  </si>
  <si>
    <t>x</t>
  </si>
  <si>
    <t>Самоорганизация живой материи</t>
  </si>
  <si>
    <t xml:space="preserve"> </t>
  </si>
  <si>
    <t>Квалификация - ФИЗИК</t>
  </si>
  <si>
    <t>ДС.01</t>
  </si>
  <si>
    <t>Биология, анатомия и физиология человека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</si>
</sst>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u val="single"/>
      <sz val="8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10.25"/>
      <name val="Arial Cyr"/>
      <family val="0"/>
    </font>
    <font>
      <i/>
      <sz val="9"/>
      <name val="Arial Cyr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/>
    </xf>
    <xf numFmtId="0" fontId="6" fillId="2" borderId="0" xfId="0" applyFont="1" applyFill="1" applyAlignment="1">
      <alignment/>
    </xf>
    <xf numFmtId="0" fontId="6" fillId="0" borderId="1" xfId="0" applyFont="1" applyBorder="1" applyAlignment="1">
      <alignment horizontal="justify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wrapText="1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vertical="center" textRotation="90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9" xfId="0" applyFont="1" applyFill="1" applyBorder="1" applyAlignment="1">
      <alignment horizontal="justify" vertical="center" textRotation="90"/>
    </xf>
    <xf numFmtId="0" fontId="6" fillId="0" borderId="10" xfId="0" applyFont="1" applyBorder="1" applyAlignment="1">
      <alignment horizontal="center" vertical="top" textRotation="90"/>
    </xf>
    <xf numFmtId="0" fontId="6" fillId="0" borderId="9" xfId="0" applyFont="1" applyBorder="1" applyAlignment="1">
      <alignment horizontal="justify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 vertical="center" textRotation="90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wrapText="1"/>
    </xf>
    <xf numFmtId="0" fontId="6" fillId="2" borderId="16" xfId="0" applyFont="1" applyFill="1" applyBorder="1" applyAlignment="1">
      <alignment horizontal="justify" wrapText="1"/>
    </xf>
    <xf numFmtId="0" fontId="6" fillId="2" borderId="4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textRotation="90" wrapText="1"/>
    </xf>
    <xf numFmtId="0" fontId="10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9" fillId="2" borderId="12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11" fillId="0" borderId="4" xfId="0" applyFont="1" applyBorder="1" applyAlignment="1">
      <alignment horizontal="justify" vertical="center"/>
    </xf>
    <xf numFmtId="0" fontId="11" fillId="2" borderId="4" xfId="0" applyFont="1" applyFill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15" fillId="2" borderId="4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top"/>
    </xf>
    <xf numFmtId="3" fontId="6" fillId="2" borderId="4" xfId="0" applyNumberFormat="1" applyFont="1" applyFill="1" applyBorder="1" applyAlignment="1">
      <alignment horizontal="justify" vertical="top"/>
    </xf>
    <xf numFmtId="0" fontId="10" fillId="2" borderId="4" xfId="0" applyFont="1" applyFill="1" applyBorder="1" applyAlignment="1">
      <alignment horizontal="justify" vertical="top"/>
    </xf>
    <xf numFmtId="0" fontId="6" fillId="0" borderId="4" xfId="0" applyFont="1" applyBorder="1" applyAlignment="1">
      <alignment horizontal="center"/>
    </xf>
    <xf numFmtId="0" fontId="6" fillId="2" borderId="20" xfId="0" applyFont="1" applyFill="1" applyBorder="1" applyAlignment="1">
      <alignment horizontal="justify" vertical="top"/>
    </xf>
    <xf numFmtId="0" fontId="10" fillId="2" borderId="20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justify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justify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/>
    </xf>
    <xf numFmtId="0" fontId="15" fillId="2" borderId="16" xfId="0" applyFont="1" applyFill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6" fillId="2" borderId="2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9" fillId="0" borderId="3" xfId="0" applyFont="1" applyBorder="1" applyAlignment="1">
      <alignment horizontal="justify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5" fillId="0" borderId="12" xfId="0" applyFont="1" applyBorder="1" applyAlignment="1">
      <alignment horizontal="justify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2" borderId="16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17" fillId="0" borderId="3" xfId="0" applyFont="1" applyBorder="1" applyAlignment="1">
      <alignment horizontal="justify" vertical="center"/>
    </xf>
    <xf numFmtId="0" fontId="17" fillId="0" borderId="16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15" fillId="2" borderId="3" xfId="0" applyFont="1" applyFill="1" applyBorder="1" applyAlignment="1">
      <alignment horizontal="justify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justify"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justify" wrapText="1"/>
    </xf>
    <xf numFmtId="0" fontId="6" fillId="2" borderId="4" xfId="0" applyFont="1" applyFill="1" applyBorder="1" applyAlignment="1">
      <alignment horizontal="justify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horizontal="center" textRotation="90" wrapText="1"/>
    </xf>
    <xf numFmtId="0" fontId="6" fillId="2" borderId="16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2" borderId="3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16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justify"/>
    </xf>
    <xf numFmtId="0" fontId="17" fillId="0" borderId="16" xfId="0" applyFont="1" applyBorder="1" applyAlignment="1">
      <alignment horizontal="justify"/>
    </xf>
    <xf numFmtId="0" fontId="17" fillId="0" borderId="4" xfId="0" applyFont="1" applyBorder="1" applyAlignment="1">
      <alignment horizontal="justify"/>
    </xf>
    <xf numFmtId="0" fontId="6" fillId="2" borderId="2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justify" vertical="center"/>
    </xf>
    <xf numFmtId="0" fontId="17" fillId="2" borderId="16" xfId="0" applyFont="1" applyFill="1" applyBorder="1" applyAlignment="1">
      <alignment horizontal="justify" vertical="center"/>
    </xf>
    <xf numFmtId="0" fontId="17" fillId="2" borderId="4" xfId="0" applyFont="1" applyFill="1" applyBorder="1" applyAlignment="1">
      <alignment horizontal="justify" vertical="center"/>
    </xf>
    <xf numFmtId="0" fontId="9" fillId="2" borderId="3" xfId="0" applyFont="1" applyFill="1" applyBorder="1" applyAlignment="1">
      <alignment horizontal="justify" vertical="center"/>
    </xf>
    <xf numFmtId="0" fontId="9" fillId="2" borderId="16" xfId="0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14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Лист2!$Q$1:$Q$86</c:f>
              <c:numCache>
                <c:ptCount val="86"/>
                <c:pt idx="3">
                  <c:v>0</c:v>
                </c:pt>
                <c:pt idx="4">
                  <c:v>0</c:v>
                </c:pt>
                <c:pt idx="9">
                  <c:v>1038</c:v>
                </c:pt>
                <c:pt idx="10">
                  <c:v>768</c:v>
                </c:pt>
                <c:pt idx="11">
                  <c:v>180</c:v>
                </c:pt>
                <c:pt idx="12">
                  <c:v>408</c:v>
                </c:pt>
                <c:pt idx="13">
                  <c:v>54</c:v>
                </c:pt>
                <c:pt idx="14">
                  <c:v>54</c:v>
                </c:pt>
                <c:pt idx="15">
                  <c:v>72</c:v>
                </c:pt>
                <c:pt idx="16">
                  <c:v>126</c:v>
                </c:pt>
                <c:pt idx="17">
                  <c:v>144</c:v>
                </c:pt>
                <c:pt idx="18">
                  <c:v>1944</c:v>
                </c:pt>
                <c:pt idx="19">
                  <c:v>1800</c:v>
                </c:pt>
                <c:pt idx="20">
                  <c:v>540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432</c:v>
                </c:pt>
                <c:pt idx="28">
                  <c:v>630</c:v>
                </c:pt>
                <c:pt idx="29">
                  <c:v>288</c:v>
                </c:pt>
                <c:pt idx="30">
                  <c:v>54</c:v>
                </c:pt>
                <c:pt idx="31">
                  <c:v>36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36</c:v>
                </c:pt>
                <c:pt idx="36">
                  <c:v>54</c:v>
                </c:pt>
                <c:pt idx="37">
                  <c:v>126</c:v>
                </c:pt>
                <c:pt idx="38">
                  <c:v>54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72</c:v>
                </c:pt>
                <c:pt idx="44">
                  <c:v>72</c:v>
                </c:pt>
                <c:pt idx="45">
                  <c:v>738</c:v>
                </c:pt>
                <c:pt idx="46">
                  <c:v>666</c:v>
                </c:pt>
                <c:pt idx="47">
                  <c:v>558</c:v>
                </c:pt>
                <c:pt idx="48">
                  <c:v>72</c:v>
                </c:pt>
                <c:pt idx="49">
                  <c:v>36</c:v>
                </c:pt>
                <c:pt idx="50">
                  <c:v>72</c:v>
                </c:pt>
                <c:pt idx="51">
                  <c:v>72</c:v>
                </c:pt>
                <c:pt idx="52">
                  <c:v>144</c:v>
                </c:pt>
                <c:pt idx="53">
                  <c:v>36</c:v>
                </c:pt>
                <c:pt idx="54">
                  <c:v>90</c:v>
                </c:pt>
                <c:pt idx="55">
                  <c:v>36</c:v>
                </c:pt>
                <c:pt idx="56">
                  <c:v>108</c:v>
                </c:pt>
                <c:pt idx="57">
                  <c:v>108</c:v>
                </c:pt>
                <c:pt idx="58">
                  <c:v>36</c:v>
                </c:pt>
                <c:pt idx="59">
                  <c:v>36</c:v>
                </c:pt>
                <c:pt idx="60">
                  <c:v>1146</c:v>
                </c:pt>
                <c:pt idx="61">
                  <c:v>270</c:v>
                </c:pt>
                <c:pt idx="62">
                  <c:v>54</c:v>
                </c:pt>
                <c:pt idx="63">
                  <c:v>108</c:v>
                </c:pt>
                <c:pt idx="64">
                  <c:v>108</c:v>
                </c:pt>
                <c:pt idx="65">
                  <c:v>54</c:v>
                </c:pt>
                <c:pt idx="66">
                  <c:v>72</c:v>
                </c:pt>
                <c:pt idx="67">
                  <c:v>72</c:v>
                </c:pt>
                <c:pt idx="68">
                  <c:v>54</c:v>
                </c:pt>
                <c:pt idx="69">
                  <c:v>84</c:v>
                </c:pt>
                <c:pt idx="70">
                  <c:v>84</c:v>
                </c:pt>
                <c:pt idx="72">
                  <c:v>456</c:v>
                </c:pt>
                <c:pt idx="73">
                  <c:v>450</c:v>
                </c:pt>
                <c:pt idx="74">
                  <c:v>450</c:v>
                </c:pt>
                <c:pt idx="75">
                  <c:v>5316</c:v>
                </c:pt>
                <c:pt idx="81">
                  <c:v>0</c:v>
                </c:pt>
                <c:pt idx="8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Лист2!$R$1:$R$86</c:f>
              <c:numCache>
                <c:ptCount val="86"/>
                <c:pt idx="4">
                  <c:v>0</c:v>
                </c:pt>
                <c:pt idx="9">
                  <c:v>242</c:v>
                </c:pt>
                <c:pt idx="10">
                  <c:v>134</c:v>
                </c:pt>
                <c:pt idx="12">
                  <c:v>26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72</c:v>
                </c:pt>
                <c:pt idx="18">
                  <c:v>846</c:v>
                </c:pt>
                <c:pt idx="19">
                  <c:v>774</c:v>
                </c:pt>
                <c:pt idx="20">
                  <c:v>324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8">
                  <c:v>360</c:v>
                </c:pt>
                <c:pt idx="29">
                  <c:v>144</c:v>
                </c:pt>
                <c:pt idx="30">
                  <c:v>36</c:v>
                </c:pt>
                <c:pt idx="31">
                  <c:v>18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18</c:v>
                </c:pt>
                <c:pt idx="36">
                  <c:v>36</c:v>
                </c:pt>
                <c:pt idx="37">
                  <c:v>54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36</c:v>
                </c:pt>
                <c:pt idx="44">
                  <c:v>36</c:v>
                </c:pt>
                <c:pt idx="45">
                  <c:v>396</c:v>
                </c:pt>
                <c:pt idx="46">
                  <c:v>360</c:v>
                </c:pt>
                <c:pt idx="47">
                  <c:v>306</c:v>
                </c:pt>
                <c:pt idx="48">
                  <c:v>36</c:v>
                </c:pt>
                <c:pt idx="49">
                  <c:v>18</c:v>
                </c:pt>
                <c:pt idx="50">
                  <c:v>36</c:v>
                </c:pt>
                <c:pt idx="51">
                  <c:v>36</c:v>
                </c:pt>
                <c:pt idx="52">
                  <c:v>90</c:v>
                </c:pt>
                <c:pt idx="53">
                  <c:v>18</c:v>
                </c:pt>
                <c:pt idx="54">
                  <c:v>54</c:v>
                </c:pt>
                <c:pt idx="55">
                  <c:v>18</c:v>
                </c:pt>
                <c:pt idx="56">
                  <c:v>54</c:v>
                </c:pt>
                <c:pt idx="57">
                  <c:v>54</c:v>
                </c:pt>
                <c:pt idx="58">
                  <c:v>18</c:v>
                </c:pt>
                <c:pt idx="59">
                  <c:v>18</c:v>
                </c:pt>
                <c:pt idx="60">
                  <c:v>576</c:v>
                </c:pt>
                <c:pt idx="61">
                  <c:v>144</c:v>
                </c:pt>
                <c:pt idx="62">
                  <c:v>36</c:v>
                </c:pt>
                <c:pt idx="63">
                  <c:v>54</c:v>
                </c:pt>
                <c:pt idx="64">
                  <c:v>54</c:v>
                </c:pt>
                <c:pt idx="65">
                  <c:v>36</c:v>
                </c:pt>
                <c:pt idx="66">
                  <c:v>36</c:v>
                </c:pt>
                <c:pt idx="67">
                  <c:v>36</c:v>
                </c:pt>
                <c:pt idx="68">
                  <c:v>36</c:v>
                </c:pt>
                <c:pt idx="69">
                  <c:v>42</c:v>
                </c:pt>
                <c:pt idx="72">
                  <c:v>246</c:v>
                </c:pt>
                <c:pt idx="73">
                  <c:v>144</c:v>
                </c:pt>
                <c:pt idx="74">
                  <c:v>144</c:v>
                </c:pt>
                <c:pt idx="75">
                  <c:v>2204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Лист2!$S$1:$S$86</c:f>
              <c:numCache>
                <c:ptCount val="86"/>
                <c:pt idx="4">
                  <c:v>0</c:v>
                </c:pt>
                <c:pt idx="18">
                  <c:v>504</c:v>
                </c:pt>
                <c:pt idx="19">
                  <c:v>504</c:v>
                </c:pt>
                <c:pt idx="27">
                  <c:v>432</c:v>
                </c:pt>
                <c:pt idx="37">
                  <c:v>72</c:v>
                </c:pt>
                <c:pt idx="38">
                  <c:v>36</c:v>
                </c:pt>
                <c:pt idx="39">
                  <c:v>18</c:v>
                </c:pt>
                <c:pt idx="40">
                  <c:v>18</c:v>
                </c:pt>
                <c:pt idx="60">
                  <c:v>166</c:v>
                </c:pt>
                <c:pt idx="70">
                  <c:v>84</c:v>
                </c:pt>
                <c:pt idx="72">
                  <c:v>82</c:v>
                </c:pt>
                <c:pt idx="75">
                  <c:v>670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Лист2!$T$1:$T$86</c:f>
              <c:numCache>
                <c:ptCount val="86"/>
                <c:pt idx="4">
                  <c:v>0</c:v>
                </c:pt>
                <c:pt idx="9">
                  <c:v>634</c:v>
                </c:pt>
                <c:pt idx="10">
                  <c:v>562</c:v>
                </c:pt>
                <c:pt idx="11">
                  <c:v>180</c:v>
                </c:pt>
                <c:pt idx="12">
                  <c:v>382</c:v>
                </c:pt>
                <c:pt idx="16">
                  <c:v>72</c:v>
                </c:pt>
                <c:pt idx="18">
                  <c:v>594</c:v>
                </c:pt>
                <c:pt idx="19">
                  <c:v>522</c:v>
                </c:pt>
                <c:pt idx="20">
                  <c:v>216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8">
                  <c:v>270</c:v>
                </c:pt>
                <c:pt idx="29">
                  <c:v>144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36</c:v>
                </c:pt>
                <c:pt idx="44">
                  <c:v>36</c:v>
                </c:pt>
                <c:pt idx="45">
                  <c:v>342</c:v>
                </c:pt>
                <c:pt idx="46">
                  <c:v>306</c:v>
                </c:pt>
                <c:pt idx="47">
                  <c:v>252</c:v>
                </c:pt>
                <c:pt idx="48">
                  <c:v>36</c:v>
                </c:pt>
                <c:pt idx="49">
                  <c:v>18</c:v>
                </c:pt>
                <c:pt idx="50">
                  <c:v>36</c:v>
                </c:pt>
                <c:pt idx="51">
                  <c:v>36</c:v>
                </c:pt>
                <c:pt idx="52">
                  <c:v>54</c:v>
                </c:pt>
                <c:pt idx="53">
                  <c:v>18</c:v>
                </c:pt>
                <c:pt idx="54">
                  <c:v>36</c:v>
                </c:pt>
                <c:pt idx="55">
                  <c:v>18</c:v>
                </c:pt>
                <c:pt idx="56">
                  <c:v>54</c:v>
                </c:pt>
                <c:pt idx="57">
                  <c:v>54</c:v>
                </c:pt>
                <c:pt idx="58">
                  <c:v>18</c:v>
                </c:pt>
                <c:pt idx="59">
                  <c:v>18</c:v>
                </c:pt>
                <c:pt idx="60">
                  <c:v>404</c:v>
                </c:pt>
                <c:pt idx="61">
                  <c:v>126</c:v>
                </c:pt>
                <c:pt idx="62">
                  <c:v>18</c:v>
                </c:pt>
                <c:pt idx="63">
                  <c:v>54</c:v>
                </c:pt>
                <c:pt idx="64">
                  <c:v>54</c:v>
                </c:pt>
                <c:pt idx="65">
                  <c:v>18</c:v>
                </c:pt>
                <c:pt idx="66">
                  <c:v>36</c:v>
                </c:pt>
                <c:pt idx="67">
                  <c:v>36</c:v>
                </c:pt>
                <c:pt idx="68">
                  <c:v>18</c:v>
                </c:pt>
                <c:pt idx="69">
                  <c:v>42</c:v>
                </c:pt>
                <c:pt idx="72">
                  <c:v>128</c:v>
                </c:pt>
                <c:pt idx="73">
                  <c:v>276</c:v>
                </c:pt>
                <c:pt idx="74">
                  <c:v>276</c:v>
                </c:pt>
                <c:pt idx="75">
                  <c:v>2250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Лист2!$U$1:$U$86</c:f>
              <c:numCache>
                <c:ptCount val="86"/>
                <c:pt idx="4">
                  <c:v>0</c:v>
                </c:pt>
                <c:pt idx="9">
                  <c:v>162</c:v>
                </c:pt>
                <c:pt idx="10">
                  <c:v>72</c:v>
                </c:pt>
                <c:pt idx="13">
                  <c:v>18</c:v>
                </c:pt>
                <c:pt idx="14">
                  <c:v>18</c:v>
                </c:pt>
                <c:pt idx="15">
                  <c:v>36</c:v>
                </c:pt>
                <c:pt idx="16">
                  <c:v>18</c:v>
                </c:pt>
                <c:pt idx="17">
                  <c:v>72</c:v>
                </c:pt>
                <c:pt idx="73">
                  <c:v>30</c:v>
                </c:pt>
                <c:pt idx="74">
                  <c:v>30</c:v>
                </c:pt>
                <c:pt idx="75">
                  <c:v>192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Лист2!$V$1:$V$86</c:f>
              <c:numCache>
                <c:ptCount val="86"/>
                <c:pt idx="3">
                  <c:v>0</c:v>
                </c:pt>
                <c:pt idx="60">
                  <c:v>24</c:v>
                </c:pt>
                <c:pt idx="64">
                  <c:v>6</c:v>
                </c:pt>
                <c:pt idx="66">
                  <c:v>6</c:v>
                </c:pt>
                <c:pt idx="72">
                  <c:v>12</c:v>
                </c:pt>
                <c:pt idx="75">
                  <c:v>24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Лист2!$W$1:$W$86</c:f>
              <c:numCache>
                <c:ptCount val="86"/>
                <c:pt idx="3">
                  <c:v>0</c:v>
                </c:pt>
                <c:pt idx="9">
                  <c:v>762</c:v>
                </c:pt>
                <c:pt idx="10">
                  <c:v>492</c:v>
                </c:pt>
                <c:pt idx="11">
                  <c:v>160</c:v>
                </c:pt>
                <c:pt idx="13">
                  <c:v>122</c:v>
                </c:pt>
                <c:pt idx="14">
                  <c:v>106</c:v>
                </c:pt>
                <c:pt idx="15">
                  <c:v>104</c:v>
                </c:pt>
                <c:pt idx="16">
                  <c:v>144</c:v>
                </c:pt>
                <c:pt idx="17">
                  <c:v>126</c:v>
                </c:pt>
                <c:pt idx="18">
                  <c:v>1496</c:v>
                </c:pt>
                <c:pt idx="19">
                  <c:v>1340</c:v>
                </c:pt>
                <c:pt idx="20">
                  <c:v>460</c:v>
                </c:pt>
                <c:pt idx="21">
                  <c:v>70</c:v>
                </c:pt>
                <c:pt idx="22">
                  <c:v>90</c:v>
                </c:pt>
                <c:pt idx="23">
                  <c:v>70</c:v>
                </c:pt>
                <c:pt idx="24">
                  <c:v>90</c:v>
                </c:pt>
                <c:pt idx="25">
                  <c:v>70</c:v>
                </c:pt>
                <c:pt idx="26">
                  <c:v>70</c:v>
                </c:pt>
                <c:pt idx="27">
                  <c:v>218</c:v>
                </c:pt>
                <c:pt idx="28">
                  <c:v>520</c:v>
                </c:pt>
                <c:pt idx="29">
                  <c:v>192</c:v>
                </c:pt>
                <c:pt idx="30">
                  <c:v>46</c:v>
                </c:pt>
                <c:pt idx="31">
                  <c:v>24</c:v>
                </c:pt>
                <c:pt idx="32">
                  <c:v>16</c:v>
                </c:pt>
                <c:pt idx="33">
                  <c:v>86</c:v>
                </c:pt>
                <c:pt idx="34">
                  <c:v>76</c:v>
                </c:pt>
                <c:pt idx="35">
                  <c:v>34</c:v>
                </c:pt>
                <c:pt idx="36">
                  <c:v>46</c:v>
                </c:pt>
                <c:pt idx="37">
                  <c:v>74</c:v>
                </c:pt>
                <c:pt idx="38">
                  <c:v>6</c:v>
                </c:pt>
                <c:pt idx="39">
                  <c:v>44</c:v>
                </c:pt>
                <c:pt idx="40">
                  <c:v>24</c:v>
                </c:pt>
                <c:pt idx="41">
                  <c:v>34</c:v>
                </c:pt>
                <c:pt idx="42">
                  <c:v>34</c:v>
                </c:pt>
                <c:pt idx="43">
                  <c:v>78</c:v>
                </c:pt>
                <c:pt idx="44">
                  <c:v>78</c:v>
                </c:pt>
                <c:pt idx="45">
                  <c:v>572</c:v>
                </c:pt>
                <c:pt idx="46">
                  <c:v>444</c:v>
                </c:pt>
                <c:pt idx="47">
                  <c:v>312</c:v>
                </c:pt>
                <c:pt idx="48">
                  <c:v>68</c:v>
                </c:pt>
                <c:pt idx="49">
                  <c:v>24</c:v>
                </c:pt>
                <c:pt idx="50">
                  <c:v>28</c:v>
                </c:pt>
                <c:pt idx="51">
                  <c:v>28</c:v>
                </c:pt>
                <c:pt idx="52">
                  <c:v>86</c:v>
                </c:pt>
                <c:pt idx="53">
                  <c:v>24</c:v>
                </c:pt>
                <c:pt idx="54">
                  <c:v>30</c:v>
                </c:pt>
                <c:pt idx="55">
                  <c:v>24</c:v>
                </c:pt>
                <c:pt idx="56">
                  <c:v>132</c:v>
                </c:pt>
                <c:pt idx="57">
                  <c:v>132</c:v>
                </c:pt>
                <c:pt idx="58">
                  <c:v>64</c:v>
                </c:pt>
                <c:pt idx="59">
                  <c:v>64</c:v>
                </c:pt>
                <c:pt idx="60">
                  <c:v>362</c:v>
                </c:pt>
                <c:pt idx="62">
                  <c:v>26</c:v>
                </c:pt>
                <c:pt idx="63">
                  <c:v>22</c:v>
                </c:pt>
                <c:pt idx="64">
                  <c:v>26</c:v>
                </c:pt>
                <c:pt idx="65">
                  <c:v>26</c:v>
                </c:pt>
                <c:pt idx="66">
                  <c:v>32</c:v>
                </c:pt>
                <c:pt idx="67">
                  <c:v>38</c:v>
                </c:pt>
                <c:pt idx="68">
                  <c:v>36</c:v>
                </c:pt>
                <c:pt idx="69">
                  <c:v>36</c:v>
                </c:pt>
                <c:pt idx="70">
                  <c:v>36</c:v>
                </c:pt>
                <c:pt idx="72">
                  <c:v>84</c:v>
                </c:pt>
                <c:pt idx="75">
                  <c:v>3192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Лист2!$X$1:$X$86</c:f>
              <c:numCache>
                <c:ptCount val="8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5">
                  <c:v>0</c:v>
                </c:pt>
                <c:pt idx="6">
                  <c:v>18</c:v>
                </c:pt>
                <c:pt idx="8">
                  <c:v>0</c:v>
                </c:pt>
                <c:pt idx="9">
                  <c:v>11</c:v>
                </c:pt>
                <c:pt idx="10">
                  <c:v>9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6">
                  <c:v>2</c:v>
                </c:pt>
                <c:pt idx="18">
                  <c:v>25</c:v>
                </c:pt>
                <c:pt idx="19">
                  <c:v>21</c:v>
                </c:pt>
                <c:pt idx="20">
                  <c:v>5</c:v>
                </c:pt>
                <c:pt idx="21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3</c:v>
                </c:pt>
                <c:pt idx="37">
                  <c:v>3</c:v>
                </c:pt>
                <c:pt idx="38">
                  <c:v>3</c:v>
                </c:pt>
                <c:pt idx="44">
                  <c:v>4</c:v>
                </c:pt>
                <c:pt idx="75">
                  <c:v>36</c:v>
                </c:pt>
                <c:pt idx="78">
                  <c:v>4</c:v>
                </c:pt>
                <c:pt idx="79">
                  <c:v>4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Лист2!$Y$1:$Y$86</c:f>
              <c:numCache>
                <c:ptCount val="86"/>
                <c:pt idx="3">
                  <c:v>2</c:v>
                </c:pt>
                <c:pt idx="6">
                  <c:v>18</c:v>
                </c:pt>
                <c:pt idx="9">
                  <c:v>13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6">
                  <c:v>5</c:v>
                </c:pt>
                <c:pt idx="18">
                  <c:v>23</c:v>
                </c:pt>
                <c:pt idx="19">
                  <c:v>23</c:v>
                </c:pt>
                <c:pt idx="20">
                  <c:v>5</c:v>
                </c:pt>
                <c:pt idx="22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6</c:v>
                </c:pt>
                <c:pt idx="31">
                  <c:v>2</c:v>
                </c:pt>
                <c:pt idx="37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75">
                  <c:v>36</c:v>
                </c:pt>
                <c:pt idx="78">
                  <c:v>4</c:v>
                </c:pt>
                <c:pt idx="79">
                  <c:v>7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Лист2!$Z$1:$Z$86</c:f>
              <c:numCache>
                <c:ptCount val="86"/>
                <c:pt idx="2">
                  <c:v>0</c:v>
                </c:pt>
                <c:pt idx="3">
                  <c:v>3</c:v>
                </c:pt>
                <c:pt idx="6">
                  <c:v>18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7">
                  <c:v>2</c:v>
                </c:pt>
                <c:pt idx="18">
                  <c:v>22</c:v>
                </c:pt>
                <c:pt idx="19">
                  <c:v>22</c:v>
                </c:pt>
                <c:pt idx="20">
                  <c:v>5</c:v>
                </c:pt>
                <c:pt idx="23">
                  <c:v>5</c:v>
                </c:pt>
                <c:pt idx="27">
                  <c:v>4</c:v>
                </c:pt>
                <c:pt idx="28">
                  <c:v>13</c:v>
                </c:pt>
                <c:pt idx="29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73">
                  <c:v>6</c:v>
                </c:pt>
                <c:pt idx="74">
                  <c:v>6</c:v>
                </c:pt>
                <c:pt idx="75">
                  <c:v>36</c:v>
                </c:pt>
                <c:pt idx="78">
                  <c:v>4</c:v>
                </c:pt>
                <c:pt idx="79">
                  <c:v>5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Лист2!$AA$1:$AA$86</c:f>
              <c:numCache>
                <c:ptCount val="86"/>
                <c:pt idx="3">
                  <c:v>4</c:v>
                </c:pt>
                <c:pt idx="6">
                  <c:v>18</c:v>
                </c:pt>
                <c:pt idx="9">
                  <c:v>10</c:v>
                </c:pt>
                <c:pt idx="10">
                  <c:v>8</c:v>
                </c:pt>
                <c:pt idx="11">
                  <c:v>2</c:v>
                </c:pt>
                <c:pt idx="12">
                  <c:v>3</c:v>
                </c:pt>
                <c:pt idx="14">
                  <c:v>3</c:v>
                </c:pt>
                <c:pt idx="17">
                  <c:v>2</c:v>
                </c:pt>
                <c:pt idx="18">
                  <c:v>14</c:v>
                </c:pt>
                <c:pt idx="19">
                  <c:v>14</c:v>
                </c:pt>
                <c:pt idx="20">
                  <c:v>5</c:v>
                </c:pt>
                <c:pt idx="24">
                  <c:v>5</c:v>
                </c:pt>
                <c:pt idx="27">
                  <c:v>4</c:v>
                </c:pt>
                <c:pt idx="28">
                  <c:v>5</c:v>
                </c:pt>
                <c:pt idx="35">
                  <c:v>2</c:v>
                </c:pt>
                <c:pt idx="36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8">
                  <c:v>2</c:v>
                </c:pt>
                <c:pt idx="73">
                  <c:v>6</c:v>
                </c:pt>
                <c:pt idx="74">
                  <c:v>6</c:v>
                </c:pt>
                <c:pt idx="75">
                  <c:v>36</c:v>
                </c:pt>
                <c:pt idx="78">
                  <c:v>4</c:v>
                </c:pt>
                <c:pt idx="79">
                  <c:v>7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Лист2!$AB$1:$AB$86</c:f>
              <c:numCache>
                <c:ptCount val="86"/>
                <c:pt idx="2">
                  <c:v>0</c:v>
                </c:pt>
                <c:pt idx="3">
                  <c:v>5</c:v>
                </c:pt>
                <c:pt idx="6">
                  <c:v>18</c:v>
                </c:pt>
                <c:pt idx="9">
                  <c:v>4</c:v>
                </c:pt>
                <c:pt idx="10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5">
                  <c:v>5</c:v>
                </c:pt>
                <c:pt idx="27">
                  <c:v>4</c:v>
                </c:pt>
                <c:pt idx="45">
                  <c:v>12</c:v>
                </c:pt>
                <c:pt idx="46">
                  <c:v>12</c:v>
                </c:pt>
                <c:pt idx="47">
                  <c:v>6</c:v>
                </c:pt>
                <c:pt idx="49">
                  <c:v>2</c:v>
                </c:pt>
                <c:pt idx="50">
                  <c:v>4</c:v>
                </c:pt>
                <c:pt idx="56">
                  <c:v>6</c:v>
                </c:pt>
                <c:pt idx="57">
                  <c:v>6</c:v>
                </c:pt>
                <c:pt idx="60">
                  <c:v>5</c:v>
                </c:pt>
                <c:pt idx="62">
                  <c:v>3</c:v>
                </c:pt>
                <c:pt idx="72">
                  <c:v>2</c:v>
                </c:pt>
                <c:pt idx="73">
                  <c:v>6</c:v>
                </c:pt>
                <c:pt idx="74">
                  <c:v>6</c:v>
                </c:pt>
                <c:pt idx="75">
                  <c:v>36</c:v>
                </c:pt>
                <c:pt idx="78">
                  <c:v>4</c:v>
                </c:pt>
                <c:pt idx="79">
                  <c:v>5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Лист2!$AC$1:$AC$86</c:f>
              <c:numCache>
                <c:ptCount val="86"/>
                <c:pt idx="3">
                  <c:v>6</c:v>
                </c:pt>
                <c:pt idx="6">
                  <c:v>18</c:v>
                </c:pt>
                <c:pt idx="9">
                  <c:v>4</c:v>
                </c:pt>
                <c:pt idx="10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6">
                  <c:v>5</c:v>
                </c:pt>
                <c:pt idx="27">
                  <c:v>4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51">
                  <c:v>4</c:v>
                </c:pt>
                <c:pt idx="52">
                  <c:v>3</c:v>
                </c:pt>
                <c:pt idx="60">
                  <c:v>9</c:v>
                </c:pt>
                <c:pt idx="63">
                  <c:v>3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36</c:v>
                </c:pt>
                <c:pt idx="78">
                  <c:v>4</c:v>
                </c:pt>
                <c:pt idx="79">
                  <c:v>6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Лист2!$AD$1:$AD$86</c:f>
              <c:numCache>
                <c:ptCount val="86"/>
                <c:pt idx="2">
                  <c:v>0</c:v>
                </c:pt>
                <c:pt idx="3">
                  <c:v>7</c:v>
                </c:pt>
                <c:pt idx="6">
                  <c:v>18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8">
                  <c:v>2</c:v>
                </c:pt>
                <c:pt idx="19">
                  <c:v>2</c:v>
                </c:pt>
                <c:pt idx="37">
                  <c:v>2</c:v>
                </c:pt>
                <c:pt idx="39">
                  <c:v>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52">
                  <c:v>5</c:v>
                </c:pt>
                <c:pt idx="54">
                  <c:v>5</c:v>
                </c:pt>
                <c:pt idx="60">
                  <c:v>13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75">
                  <c:v>27</c:v>
                </c:pt>
                <c:pt idx="77">
                  <c:v>1</c:v>
                </c:pt>
                <c:pt idx="78">
                  <c:v>3</c:v>
                </c:pt>
                <c:pt idx="79">
                  <c:v>4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Лист2!$AE$1:$AE$86</c:f>
              <c:numCache>
                <c:ptCount val="86"/>
                <c:pt idx="3">
                  <c:v>8</c:v>
                </c:pt>
                <c:pt idx="6">
                  <c:v>18</c:v>
                </c:pt>
                <c:pt idx="9">
                  <c:v>6</c:v>
                </c:pt>
                <c:pt idx="10">
                  <c:v>6</c:v>
                </c:pt>
                <c:pt idx="12">
                  <c:v>2</c:v>
                </c:pt>
                <c:pt idx="15">
                  <c:v>4</c:v>
                </c:pt>
                <c:pt idx="18">
                  <c:v>4</c:v>
                </c:pt>
                <c:pt idx="43">
                  <c:v>4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53">
                  <c:v>2</c:v>
                </c:pt>
                <c:pt idx="55">
                  <c:v>2</c:v>
                </c:pt>
                <c:pt idx="59">
                  <c:v>2</c:v>
                </c:pt>
                <c:pt idx="60">
                  <c:v>18</c:v>
                </c:pt>
                <c:pt idx="64">
                  <c:v>3</c:v>
                </c:pt>
                <c:pt idx="67">
                  <c:v>4</c:v>
                </c:pt>
                <c:pt idx="68">
                  <c:v>3</c:v>
                </c:pt>
                <c:pt idx="72">
                  <c:v>8</c:v>
                </c:pt>
                <c:pt idx="75">
                  <c:v>34</c:v>
                </c:pt>
                <c:pt idx="77">
                  <c:v>1</c:v>
                </c:pt>
                <c:pt idx="78">
                  <c:v>5</c:v>
                </c:pt>
                <c:pt idx="79">
                  <c:v>6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Лист2!$AF$1:$AF$86</c:f>
              <c:numCache>
                <c:ptCount val="86"/>
                <c:pt idx="2">
                  <c:v>0</c:v>
                </c:pt>
                <c:pt idx="3">
                  <c:v>9</c:v>
                </c:pt>
                <c:pt idx="6">
                  <c:v>14</c:v>
                </c:pt>
                <c:pt idx="60">
                  <c:v>24</c:v>
                </c:pt>
                <c:pt idx="69">
                  <c:v>6</c:v>
                </c:pt>
                <c:pt idx="70">
                  <c:v>6</c:v>
                </c:pt>
                <c:pt idx="72">
                  <c:v>12</c:v>
                </c:pt>
                <c:pt idx="75">
                  <c:v>24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Лист2!$A$1:$P$86</c:f>
              <c:multiLvlStrCache>
                <c:ptCount val="86"/>
                <c:lvl>
                  <c:pt idx="0">
                    <c:v>III. ПЛАН УЧЕБНОГО ПРОЦЕССА</c:v>
                  </c:pt>
                  <c:pt idx="1">
                    <c:v>ОБЪЕМ В ЧАСАХ</c:v>
                  </c:pt>
                  <c:pt idx="2">
                    <c:v>в том числе</c:v>
                  </c:pt>
                  <c:pt idx="3">
                    <c:v>Общее количество</c:v>
                  </c:pt>
                  <c:pt idx="4">
                    <c:v>Курсовых проектов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176</c:v>
                  </c:pt>
                  <c:pt idx="14">
                    <c:v>160</c:v>
                  </c:pt>
                  <c:pt idx="15">
                    <c:v>176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160</c:v>
                  </c:pt>
                  <c:pt idx="22">
                    <c:v>180</c:v>
                  </c:pt>
                  <c:pt idx="23">
                    <c:v>160</c:v>
                  </c:pt>
                  <c:pt idx="24">
                    <c:v>180</c:v>
                  </c:pt>
                  <c:pt idx="25">
                    <c:v>160</c:v>
                  </c:pt>
                  <c:pt idx="26">
                    <c:v>160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480</c:v>
                  </c:pt>
                  <c:pt idx="30">
                    <c:v>100</c:v>
                  </c:pt>
                  <c:pt idx="31">
                    <c:v>60</c:v>
                  </c:pt>
                  <c:pt idx="32">
                    <c:v>70</c:v>
                  </c:pt>
                  <c:pt idx="33">
                    <c:v>140</c:v>
                  </c:pt>
                  <c:pt idx="34">
                    <c:v>130</c:v>
                  </c:pt>
                  <c:pt idx="35">
                    <c:v>70</c:v>
                  </c:pt>
                  <c:pt idx="36">
                    <c:v>100</c:v>
                  </c:pt>
                  <c:pt idx="37">
                    <c:v>200</c:v>
                  </c:pt>
                  <c:pt idx="38">
                    <c:v>60</c:v>
                  </c:pt>
                  <c:pt idx="39">
                    <c:v>80</c:v>
                  </c:pt>
                  <c:pt idx="40">
                    <c:v>60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140</c:v>
                  </c:pt>
                  <c:pt idx="49">
                    <c:v>60</c:v>
                  </c:pt>
                  <c:pt idx="50">
                    <c:v>100</c:v>
                  </c:pt>
                  <c:pt idx="51">
                    <c:v>100</c:v>
                  </c:pt>
                  <c:pt idx="52">
                    <c:v>230</c:v>
                  </c:pt>
                  <c:pt idx="53">
                    <c:v>60</c:v>
                  </c:pt>
                  <c:pt idx="54">
                    <c:v>120</c:v>
                  </c:pt>
                  <c:pt idx="55">
                    <c:v>60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350</c:v>
                  </c:pt>
                  <c:pt idx="62">
                    <c:v>80</c:v>
                  </c:pt>
                  <c:pt idx="63">
                    <c:v>130</c:v>
                  </c:pt>
                  <c:pt idx="64">
                    <c:v>140</c:v>
                  </c:pt>
                  <c:pt idx="65">
                    <c:v>80</c:v>
                  </c:pt>
                  <c:pt idx="66">
                    <c:v>110</c:v>
                  </c:pt>
                  <c:pt idx="67">
                    <c:v>110</c:v>
                  </c:pt>
                  <c:pt idx="68">
                    <c:v>90</c:v>
                  </c:pt>
                  <c:pt idx="69">
                    <c:v>120</c:v>
                  </c:pt>
                  <c:pt idx="70">
                    <c:v>120</c:v>
                  </c:pt>
                  <c:pt idx="71">
                    <c:v>Курсовая работа</c:v>
                  </c:pt>
                  <c:pt idx="72">
                    <c:v>552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ЧИСЛО КУРСОВЫХ ПРОЕКТОВ</c:v>
                  </c:pt>
                  <c:pt idx="77">
                    <c:v>3</c:v>
                  </c:pt>
                  <c:pt idx="78">
                    <c:v>34</c:v>
                  </c:pt>
                  <c:pt idx="79">
                    <c:v>46</c:v>
                  </c:pt>
                  <c:pt idx="80">
                    <c:v>VII. Итоговая государственная аттестация</c:v>
                  </c:pt>
                  <c:pt idx="81">
                    <c:v>1.</c:v>
                  </c:pt>
                  <c:pt idx="82">
                    <c:v>6</c:v>
                  </c:pt>
                  <c:pt idx="83">
                    <c:v>2.</c:v>
                  </c:pt>
                  <c:pt idx="84">
                    <c:v>2</c:v>
                  </c:pt>
                  <c:pt idx="85">
                    <c:v>3.</c:v>
                  </c:pt>
                </c:lvl>
                <c:lvl>
                  <c:pt idx="1">
                    <c:v>РАСПРЕДЕЛЕНИЕ ПО СЕМЕСТРАМ</c:v>
                  </c:pt>
                  <c:pt idx="2">
                    <c:v>Всего по госстандарту</c:v>
                  </c:pt>
                  <c:pt idx="4">
                    <c:v>Курсовых работ</c:v>
                  </c:pt>
                  <c:pt idx="9">
                    <c:v>1800</c:v>
                  </c:pt>
                  <c:pt idx="10">
                    <c:v>1260</c:v>
                  </c:pt>
                  <c:pt idx="11">
                    <c:v>340</c:v>
                  </c:pt>
                  <c:pt idx="12">
                    <c:v>408</c:v>
                  </c:pt>
                  <c:pt idx="13">
                    <c:v>1</c:v>
                  </c:pt>
                  <c:pt idx="14">
                    <c:v>4</c:v>
                  </c:pt>
                  <c:pt idx="15">
                    <c:v>8</c:v>
                  </c:pt>
                  <c:pt idx="16">
                    <c:v>270</c:v>
                  </c:pt>
                  <c:pt idx="17">
                    <c:v>270</c:v>
                  </c:pt>
                  <c:pt idx="18">
                    <c:v>3440</c:v>
                  </c:pt>
                  <c:pt idx="19">
                    <c:v>3140</c:v>
                  </c:pt>
                  <c:pt idx="20">
                    <c:v>1000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650</c:v>
                  </c:pt>
                  <c:pt idx="28">
                    <c:v>1150</c:v>
                  </c:pt>
                  <c:pt idx="29">
                    <c:v>123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4</c:v>
                  </c:pt>
                  <c:pt idx="36">
                    <c:v>4</c:v>
                  </c:pt>
                  <c:pt idx="37">
                    <c:v>200</c:v>
                  </c:pt>
                  <c:pt idx="38">
                    <c:v>1</c:v>
                  </c:pt>
                  <c:pt idx="39">
                    <c:v>7</c:v>
                  </c:pt>
                  <c:pt idx="40">
                    <c:v>2</c:v>
                  </c:pt>
                  <c:pt idx="41">
                    <c:v>70</c:v>
                  </c:pt>
                  <c:pt idx="42">
                    <c:v>70</c:v>
                  </c:pt>
                  <c:pt idx="43">
                    <c:v>150</c:v>
                  </c:pt>
                  <c:pt idx="44">
                    <c:v>150</c:v>
                  </c:pt>
                  <c:pt idx="45">
                    <c:v>1310</c:v>
                  </c:pt>
                  <c:pt idx="46">
                    <c:v>1110</c:v>
                  </c:pt>
                  <c:pt idx="47">
                    <c:v>870</c:v>
                  </c:pt>
                  <c:pt idx="48">
                    <c:v>4</c:v>
                  </c:pt>
                  <c:pt idx="49">
                    <c:v>5</c:v>
                  </c:pt>
                  <c:pt idx="50">
                    <c:v>5</c:v>
                  </c:pt>
                  <c:pt idx="51">
                    <c:v>6</c:v>
                  </c:pt>
                  <c:pt idx="52">
                    <c:v>6</c:v>
                  </c:pt>
                  <c:pt idx="53">
                    <c:v>8</c:v>
                  </c:pt>
                  <c:pt idx="54">
                    <c:v>7</c:v>
                  </c:pt>
                  <c:pt idx="55">
                    <c:v>8</c:v>
                  </c:pt>
                  <c:pt idx="56">
                    <c:v>240</c:v>
                  </c:pt>
                  <c:pt idx="57">
                    <c:v>240</c:v>
                  </c:pt>
                  <c:pt idx="58">
                    <c:v>100</c:v>
                  </c:pt>
                  <c:pt idx="59">
                    <c:v>100</c:v>
                  </c:pt>
                  <c:pt idx="60">
                    <c:v>1532</c:v>
                  </c:pt>
                  <c:pt idx="61">
                    <c:v>Биология, анатомия и физиология человека</c:v>
                  </c:pt>
                  <c:pt idx="62">
                    <c:v>5</c:v>
                  </c:pt>
                  <c:pt idx="63">
                    <c:v>67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8</c:v>
                  </c:pt>
                  <c:pt idx="68">
                    <c:v>8</c:v>
                  </c:pt>
                  <c:pt idx="69">
                    <c:v>9</c:v>
                  </c:pt>
                  <c:pt idx="70">
                    <c:v>9</c:v>
                  </c:pt>
                  <c:pt idx="71">
                    <c:v>ДС.08</c:v>
                  </c:pt>
                  <c:pt idx="72">
                    <c:v>89</c:v>
                  </c:pt>
                  <c:pt idx="73">
                    <c:v>450</c:v>
                  </c:pt>
                  <c:pt idx="74">
                    <c:v>450</c:v>
                  </c:pt>
                  <c:pt idx="75">
                    <c:v>8532</c:v>
                  </c:pt>
                  <c:pt idx="76">
                    <c:v>Час.</c:v>
                  </c:pt>
                  <c:pt idx="77">
                    <c:v>ЧИСЛО КУРСОВЫХ РАБОТ</c:v>
                  </c:pt>
                  <c:pt idx="78">
                    <c:v>ЧИСЛО ЭКЗАМЕНОВ</c:v>
                  </c:pt>
                  <c:pt idx="79">
                    <c:v>ЧИСЛО ЗАЧЕТОВ</c:v>
                  </c:pt>
                  <c:pt idx="80">
                    <c:v>VI. Производственная практика</c:v>
                  </c:pt>
                  <c:pt idx="81">
                    <c:v>Нед.</c:v>
                  </c:pt>
                  <c:pt idx="82">
                    <c:v>9</c:v>
                  </c:pt>
                  <c:pt idx="83">
                    <c:v>1</c:v>
                  </c:pt>
                  <c:pt idx="84">
                    <c:v>6</c:v>
                  </c:pt>
                  <c:pt idx="85">
                    <c:v>2</c:v>
                  </c:pt>
                </c:lvl>
                <c:lvl>
                  <c:pt idx="1">
                    <c:v>НАИМЕНОВАНИЕ ДИСЦИПЛИН</c:v>
                  </c:pt>
                  <c:pt idx="4">
                    <c:v>Зачетов</c:v>
                  </c:pt>
                  <c:pt idx="9">
                    <c:v>122334445  668</c:v>
                  </c:pt>
                  <c:pt idx="10">
                    <c:v>Федеральный компонент</c:v>
                  </c:pt>
                  <c:pt idx="11">
                    <c:v>13</c:v>
                  </c:pt>
                  <c:pt idx="12">
                    <c:v>2468</c:v>
                  </c:pt>
                  <c:pt idx="13">
                    <c:v>Отечественная история</c:v>
                  </c:pt>
                  <c:pt idx="14">
                    <c:v> Психология и педагогика</c:v>
                  </c:pt>
                  <c:pt idx="15">
                    <c:v>Философия</c:v>
                  </c:pt>
                  <c:pt idx="16">
                    <c:v>2</c:v>
                  </c:pt>
                  <c:pt idx="17">
                    <c:v>3456</c:v>
                  </c:pt>
                  <c:pt idx="18">
                    <c:v>1112222233  44567</c:v>
                  </c:pt>
                  <c:pt idx="19">
                    <c:v>Федеральный компонент</c:v>
                  </c:pt>
                  <c:pt idx="20">
                    <c:v>Общая физика</c:v>
                  </c:pt>
                  <c:pt idx="21">
                    <c:v>Механика</c:v>
                  </c:pt>
                  <c:pt idx="22">
                    <c:v>Молекулярная физика</c:v>
                  </c:pt>
                  <c:pt idx="23">
                    <c:v>Электричество и магнетизм</c:v>
                  </c:pt>
                  <c:pt idx="24">
                    <c:v>Оптика</c:v>
                  </c:pt>
                  <c:pt idx="25">
                    <c:v>Физика атомнов и атомных явлений</c:v>
                  </c:pt>
                  <c:pt idx="26">
                    <c:v>Физика атомного ядра и частиц</c:v>
                  </c:pt>
                  <c:pt idx="27">
                    <c:v>123 456</c:v>
                  </c:pt>
                  <c:pt idx="28">
                    <c:v>Математика:</c:v>
                  </c:pt>
                  <c:pt idx="29">
                    <c:v>Математический анализ</c:v>
                  </c:pt>
                  <c:pt idx="30">
                    <c:v>Аналитическая геометрия</c:v>
                  </c:pt>
                  <c:pt idx="31">
                    <c:v>Линейная алгебра</c:v>
                  </c:pt>
                  <c:pt idx="32">
                    <c:v>Векторный и тензорный анализ</c:v>
                  </c:pt>
                  <c:pt idx="33">
                    <c:v>Теория функции комплексной переменной</c:v>
                  </c:pt>
                  <c:pt idx="34">
                    <c:v>Дифференциальные уравнения</c:v>
                  </c:pt>
                  <c:pt idx="35">
                    <c:v>Интегральные уравнения, вариационное исчисление</c:v>
                  </c:pt>
                  <c:pt idx="36">
                    <c:v>Теория вероятностей и математическая статистика</c:v>
                  </c:pt>
                  <c:pt idx="37">
                    <c:v>Информатика</c:v>
                  </c:pt>
                  <c:pt idx="38">
                    <c:v>Программирование</c:v>
                  </c:pt>
                  <c:pt idx="39">
                    <c:v>Вычислительная физика. (Практикум на ЭВМ)</c:v>
                  </c:pt>
                  <c:pt idx="40">
                    <c:v>Численные методы и математическое моделирование</c:v>
                  </c:pt>
                  <c:pt idx="41">
                    <c:v>2</c:v>
                  </c:pt>
                  <c:pt idx="42">
                    <c:v>2</c:v>
                  </c:pt>
                  <c:pt idx="43">
                    <c:v>8</c:v>
                  </c:pt>
                  <c:pt idx="44">
                    <c:v>1</c:v>
                  </c:pt>
                  <c:pt idx="45">
                    <c:v>445688</c:v>
                  </c:pt>
                  <c:pt idx="46">
                    <c:v>Федеральный компонент</c:v>
                  </c:pt>
                  <c:pt idx="47">
                    <c:v>Теоретическая физика</c:v>
                  </c:pt>
                  <c:pt idx="48">
                    <c:v>Механика</c:v>
                  </c:pt>
                  <c:pt idx="49">
                    <c:v>Основы механики сплошных сред</c:v>
                  </c:pt>
                  <c:pt idx="50">
                    <c:v>Электродинамика</c:v>
                  </c:pt>
                  <c:pt idx="51">
                    <c:v>Электродинамика сплошных сред</c:v>
                  </c:pt>
                  <c:pt idx="52">
                    <c:v>7</c:v>
                  </c:pt>
                  <c:pt idx="53">
                    <c:v>Физика конденсированного состояния</c:v>
                  </c:pt>
                  <c:pt idx="54">
                    <c:v>Термодинамика и статистическая физика</c:v>
                  </c:pt>
                  <c:pt idx="55">
                    <c:v>Физическая кинетика</c:v>
                  </c:pt>
                  <c:pt idx="56">
                    <c:v>Методы математической физики</c:v>
                  </c:pt>
                  <c:pt idx="57">
                    <c:v>5</c:v>
                  </c:pt>
                  <c:pt idx="58">
                    <c:v>4</c:v>
                  </c:pt>
                  <c:pt idx="59">
                    <c:v>8</c:v>
                  </c:pt>
                  <c:pt idx="60">
                    <c:v>789</c:v>
                  </c:pt>
                  <c:pt idx="61">
                    <c:v>ДС.01</c:v>
                  </c:pt>
                  <c:pt idx="62">
                    <c:v>Биология</c:v>
                  </c:pt>
                  <c:pt idx="63">
                    <c:v>Анатомия человека</c:v>
                  </c:pt>
                  <c:pt idx="64">
                    <c:v>8</c:v>
                  </c:pt>
                  <c:pt idx="65">
                    <c:v>Медицинская биохимия</c:v>
                  </c:pt>
                  <c:pt idx="66">
                    <c:v>7</c:v>
                  </c:pt>
                  <c:pt idx="67">
                    <c:v>Основы интроскопии</c:v>
                  </c:pt>
                  <c:pt idx="68">
                    <c:v>Радиационная физика</c:v>
                  </c:pt>
                  <c:pt idx="69">
                    <c:v>Медицинская электроника и измерительные преобразователи</c:v>
                  </c:pt>
                  <c:pt idx="70">
                    <c:v>Спецпрактикум</c:v>
                  </c:pt>
                  <c:pt idx="72">
                    <c:v>566888 99</c:v>
                  </c:pt>
                  <c:pt idx="73">
                    <c:v>35</c:v>
                  </c:pt>
                  <c:pt idx="74">
                    <c:v>35</c:v>
                  </c:pt>
                  <c:pt idx="75">
                    <c:v>ВСЕГО ЧАСОВ УЧЕБНЫХ ЗАНЯТИЙ</c:v>
                  </c:pt>
                  <c:pt idx="76">
                    <c:v>Сем.</c:v>
                  </c:pt>
                  <c:pt idx="77">
                    <c:v>108</c:v>
                  </c:pt>
                  <c:pt idx="78">
                    <c:v>126</c:v>
                  </c:pt>
                  <c:pt idx="79">
                    <c:v>108</c:v>
                  </c:pt>
                  <c:pt idx="80">
                    <c:v>V. Учебная практика</c:v>
                  </c:pt>
                  <c:pt idx="81">
                    <c:v>Сем.</c:v>
                  </c:pt>
                  <c:pt idx="82">
                    <c:v>Производственная практика</c:v>
                  </c:pt>
                  <c:pt idx="83">
                    <c:v>4</c:v>
                  </c:pt>
                  <c:pt idx="85">
                    <c:v>8</c:v>
                  </c:pt>
                </c:lvl>
                <c:lvl>
                  <c:pt idx="1">
                    <c:v>№№ п.п.</c:v>
                  </c:pt>
                  <c:pt idx="4">
                    <c:v>Экзаменов</c:v>
                  </c:pt>
                  <c:pt idx="9">
                    <c:v>12248</c:v>
                  </c:pt>
                  <c:pt idx="10">
                    <c:v>ГСЭФ.00</c:v>
                  </c:pt>
                  <c:pt idx="11">
                    <c:v>24</c:v>
                  </c:pt>
                  <c:pt idx="12">
                    <c:v>Физическая культура</c:v>
                  </c:pt>
                  <c:pt idx="13">
                    <c:v>ГСЭФ.03</c:v>
                  </c:pt>
                  <c:pt idx="14">
                    <c:v>ГСЭФ.07</c:v>
                  </c:pt>
                  <c:pt idx="15">
                    <c:v>ГСЭФ.10</c:v>
                  </c:pt>
                  <c:pt idx="16">
                    <c:v>2</c:v>
                  </c:pt>
                  <c:pt idx="17">
                    <c:v>Дисциплины и курсы по выбору студента, устанавливаемые вузом </c:v>
                  </c:pt>
                  <c:pt idx="18">
                    <c:v>111223333  4456</c:v>
                  </c:pt>
                  <c:pt idx="19">
                    <c:v>ЕНФ.00</c:v>
                  </c:pt>
                  <c:pt idx="20">
                    <c:v>ЕНФ.01</c:v>
                  </c:pt>
                  <c:pt idx="21">
                    <c:v>ЕНФ.01.1</c:v>
                  </c:pt>
                  <c:pt idx="22">
                    <c:v>ЕНФ.01.2</c:v>
                  </c:pt>
                  <c:pt idx="23">
                    <c:v>ЕНФ.01.3</c:v>
                  </c:pt>
                  <c:pt idx="24">
                    <c:v>ЕНФ.01.4</c:v>
                  </c:pt>
                  <c:pt idx="25">
                    <c:v>ЕНФ.01.5</c:v>
                  </c:pt>
                  <c:pt idx="26">
                    <c:v>ЕНФ.01.6</c:v>
                  </c:pt>
                  <c:pt idx="27">
                    <c:v>Общий физический практикум</c:v>
                  </c:pt>
                  <c:pt idx="28">
                    <c:v>ЕНФ.03</c:v>
                  </c:pt>
                  <c:pt idx="29">
                    <c:v>ЕНФ.03.1</c:v>
                  </c:pt>
                  <c:pt idx="30">
                    <c:v>ЕНФ.03.2</c:v>
                  </c:pt>
                  <c:pt idx="31">
                    <c:v>ЕНФ.03.3</c:v>
                  </c:pt>
                  <c:pt idx="32">
                    <c:v>ЕНФ.03.4</c:v>
                  </c:pt>
                  <c:pt idx="33">
                    <c:v>ЕНФ.03.5</c:v>
                  </c:pt>
                  <c:pt idx="34">
                    <c:v>ЕНФ.03.6</c:v>
                  </c:pt>
                  <c:pt idx="35">
                    <c:v>ЕНФ.03.7</c:v>
                  </c:pt>
                  <c:pt idx="36">
                    <c:v>ЕНФ.03.8</c:v>
                  </c:pt>
                  <c:pt idx="37">
                    <c:v>ЕНФ.04</c:v>
                  </c:pt>
                  <c:pt idx="38">
                    <c:v>ЕНФ.04.1</c:v>
                  </c:pt>
                  <c:pt idx="39">
                    <c:v>ЕНФ.04.2</c:v>
                  </c:pt>
                  <c:pt idx="40">
                    <c:v>ЕНФ.04.3</c:v>
                  </c:pt>
                  <c:pt idx="41">
                    <c:v>Химия</c:v>
                  </c:pt>
                  <c:pt idx="42">
                    <c:v>Экология</c:v>
                  </c:pt>
                  <c:pt idx="43">
                    <c:v>Национально-региональный (вузовский) компонент</c:v>
                  </c:pt>
                  <c:pt idx="44">
                    <c:v>Дисциплины и курсы по выбору студента, устанавливаемые вузом </c:v>
                  </c:pt>
                  <c:pt idx="45">
                    <c:v>556778</c:v>
                  </c:pt>
                  <c:pt idx="46">
                    <c:v>ОПДФ.00</c:v>
                  </c:pt>
                  <c:pt idx="47">
                    <c:v>ОПДФ.01</c:v>
                  </c:pt>
                  <c:pt idx="48">
                    <c:v>ОПДФ.01.1</c:v>
                  </c:pt>
                  <c:pt idx="49">
                    <c:v>ОПДФ.01.2</c:v>
                  </c:pt>
                  <c:pt idx="50">
                    <c:v>ОПДФ.01.3</c:v>
                  </c:pt>
                  <c:pt idx="51">
                    <c:v>ОПДФ.01.4</c:v>
                  </c:pt>
                  <c:pt idx="52">
                    <c:v>Квантовая теория </c:v>
                  </c:pt>
                  <c:pt idx="53">
                    <c:v>ОПДФ.01.6</c:v>
                  </c:pt>
                  <c:pt idx="54">
                    <c:v>ОПДФ.01.7</c:v>
                  </c:pt>
                  <c:pt idx="55">
                    <c:v>ОПДФ.01.8</c:v>
                  </c:pt>
                  <c:pt idx="56">
                    <c:v>ОПДФ.02</c:v>
                  </c:pt>
                  <c:pt idx="57">
                    <c:v>Линейные и нелинейные уравнения физики</c:v>
                  </c:pt>
                  <c:pt idx="58">
                    <c:v>Национально-региональный (вузовский) компонент</c:v>
                  </c:pt>
                  <c:pt idx="59">
                    <c:v>Дисциплины и курсы по выбору студента, устанавливаемые вузом </c:v>
                  </c:pt>
                  <c:pt idx="60">
                    <c:v>566777888   99</c:v>
                  </c:pt>
                  <c:pt idx="62">
                    <c:v>ДС.01.01</c:v>
                  </c:pt>
                  <c:pt idx="63">
                    <c:v>ДС.01.02</c:v>
                  </c:pt>
                  <c:pt idx="64">
                    <c:v>Физиология человека</c:v>
                  </c:pt>
                  <c:pt idx="65">
                    <c:v>ДС.02</c:v>
                  </c:pt>
                  <c:pt idx="66">
                    <c:v>Биофизика неионизирующих излучений</c:v>
                  </c:pt>
                  <c:pt idx="67">
                    <c:v>ДС.04</c:v>
                  </c:pt>
                  <c:pt idx="68">
                    <c:v>ДС.05</c:v>
                  </c:pt>
                  <c:pt idx="69">
                    <c:v>ДС.06</c:v>
                  </c:pt>
                  <c:pt idx="70">
                    <c:v>ДС.07</c:v>
                  </c:pt>
                  <c:pt idx="72">
                    <c:v>Дисциплины, устанавливаемые вузом </c:v>
                  </c:pt>
                  <c:pt idx="73">
                    <c:v>46</c:v>
                  </c:pt>
                  <c:pt idx="74">
                    <c:v>46</c:v>
                  </c:pt>
                  <c:pt idx="75">
                    <c:v>IV. Факультативные дисциплины</c:v>
                  </c:pt>
                  <c:pt idx="76">
                    <c:v>Название дисциплины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108</c:v>
                  </c:pt>
                  <c:pt idx="81">
                    <c:v>Наименование практики</c:v>
                  </c:pt>
                  <c:pt idx="82">
                    <c:v>1</c:v>
                  </c:pt>
                  <c:pt idx="83">
                    <c:v>курсовая работа 8 сем</c:v>
                  </c:pt>
                </c:lvl>
                <c:lvl>
                  <c:pt idx="9">
                    <c:v>Общие гуманитарные и социально-экономические дисциплины</c:v>
                  </c:pt>
                  <c:pt idx="11">
                    <c:v>Иностранный язык</c:v>
                  </c:pt>
                  <c:pt idx="12">
                    <c:v>ГСЭФ.02</c:v>
                  </c:pt>
                  <c:pt idx="16">
                    <c:v>Национально-региональный (вузовский) компонент</c:v>
                  </c:pt>
                  <c:pt idx="17">
                    <c:v>ГСЭВ.00</c:v>
                  </c:pt>
                  <c:pt idx="18">
                    <c:v>Общие математические и естественно-научные дисциплины</c:v>
                  </c:pt>
                  <c:pt idx="27">
                    <c:v>ЕНФ.02</c:v>
                  </c:pt>
                  <c:pt idx="41">
                    <c:v>ЕНФ.05</c:v>
                  </c:pt>
                  <c:pt idx="42">
                    <c:v>ЕНФ.06</c:v>
                  </c:pt>
                  <c:pt idx="43">
                    <c:v>ЕНР.00</c:v>
                  </c:pt>
                  <c:pt idx="44">
                    <c:v>ЕНВ.00</c:v>
                  </c:pt>
                  <c:pt idx="45">
                    <c:v>Общепрофессиональные дисциплины</c:v>
                  </c:pt>
                  <c:pt idx="52">
                    <c:v>ОПДФ.01.5</c:v>
                  </c:pt>
                  <c:pt idx="57">
                    <c:v>ОПДФ.02 01</c:v>
                  </c:pt>
                  <c:pt idx="58">
                    <c:v>ОПДР.00</c:v>
                  </c:pt>
                  <c:pt idx="59">
                    <c:v>ОПДВ.00</c:v>
                  </c:pt>
                  <c:pt idx="60">
                    <c:v>567888 99</c:v>
                  </c:pt>
                  <c:pt idx="64">
                    <c:v>ДС.01.03</c:v>
                  </c:pt>
                  <c:pt idx="66">
                    <c:v>ДС.03</c:v>
                  </c:pt>
                  <c:pt idx="72">
                    <c:v>ДСВ.00</c:v>
                  </c:pt>
                  <c:pt idx="73">
                    <c:v>Факультативные дисциплины</c:v>
                  </c:pt>
                  <c:pt idx="74">
                    <c:v>Военная подготовка</c:v>
                  </c:pt>
                  <c:pt idx="77">
                    <c:v>1. Занятия по осовению новых компьютерных систем</c:v>
                  </c:pt>
                  <c:pt idx="78">
                    <c:v>2. Занятия по иностранному языку</c:v>
                  </c:pt>
                  <c:pt idx="79">
                    <c:v>3. Доп. занятия по физпрактикуму</c:v>
                  </c:pt>
                  <c:pt idx="80">
                    <c:v>6</c:v>
                  </c:pt>
                  <c:pt idx="81">
                    <c:v>Нед.</c:v>
                  </c:pt>
                  <c:pt idx="82">
                    <c:v>2</c:v>
                  </c:pt>
                </c:lvl>
                <c:lvl>
                  <c:pt idx="9">
                    <c:v>ГСЭ.00</c:v>
                  </c:pt>
                  <c:pt idx="11">
                    <c:v>ГСЭФ.01</c:v>
                  </c:pt>
                  <c:pt idx="16">
                    <c:v>ГСЭР.00</c:v>
                  </c:pt>
                  <c:pt idx="18">
                    <c:v>ЕН</c:v>
                  </c:pt>
                  <c:pt idx="45">
                    <c:v>ОПД.00</c:v>
                  </c:pt>
                  <c:pt idx="60">
                    <c:v>Дисциплины специализации</c:v>
                  </c:pt>
                  <c:pt idx="73">
                    <c:v>Ф.00</c:v>
                  </c:pt>
                  <c:pt idx="74">
                    <c:v>Ф.01</c:v>
                  </c:pt>
                  <c:pt idx="80">
                    <c:v>4. Занятия в спортивных секциях</c:v>
                  </c:pt>
                  <c:pt idx="81">
                    <c:v>Сем.</c:v>
                  </c:pt>
                  <c:pt idx="82">
                    <c:v>Научно-исследовательская практика</c:v>
                  </c:pt>
                </c:lvl>
                <c:lvl>
                  <c:pt idx="60">
                    <c:v>ДС.00</c:v>
                  </c:pt>
                  <c:pt idx="81">
                    <c:v>Наименование практики</c:v>
                  </c:pt>
                </c:lvl>
              </c:multiLvlStrCache>
            </c:multiLvlStrRef>
          </c:cat>
          <c:val>
            <c:numRef>
              <c:f>Лист2!$AG$1:$AG$86</c:f>
              <c:numCache>
                <c:ptCount val="86"/>
                <c:pt idx="3">
                  <c:v>10</c:v>
                </c:pt>
                <c:pt idx="6">
                  <c:v>0</c:v>
                </c:pt>
              </c:numCache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19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89</xdr:row>
      <xdr:rowOff>0</xdr:rowOff>
    </xdr:from>
    <xdr:to>
      <xdr:col>22</xdr:col>
      <xdr:colOff>152400</xdr:colOff>
      <xdr:row>89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1572875" y="12773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152400</xdr:colOff>
      <xdr:row>89</xdr:row>
      <xdr:rowOff>0</xdr:rowOff>
    </xdr:from>
    <xdr:to>
      <xdr:col>22</xdr:col>
      <xdr:colOff>152400</xdr:colOff>
      <xdr:row>89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572875" y="12773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6"/>
  <sheetViews>
    <sheetView tabSelected="1" zoomScale="80" zoomScaleNormal="80" workbookViewId="0" topLeftCell="A1">
      <selection activeCell="AZ9" sqref="AZ9"/>
    </sheetView>
  </sheetViews>
  <sheetFormatPr defaultColWidth="9.00390625" defaultRowHeight="12.75"/>
  <cols>
    <col min="1" max="1" width="2.875" style="0" customWidth="1"/>
    <col min="2" max="53" width="2.75390625" style="0" customWidth="1"/>
    <col min="54" max="54" width="3.625" style="0" customWidth="1"/>
    <col min="55" max="55" width="3.125" style="0" customWidth="1"/>
    <col min="56" max="56" width="3.00390625" style="0" customWidth="1"/>
    <col min="57" max="57" width="2.875" style="0" customWidth="1"/>
    <col min="58" max="58" width="2.75390625" style="0" customWidth="1"/>
    <col min="59" max="59" width="3.00390625" style="0" customWidth="1"/>
    <col min="60" max="60" width="2.125" style="0" customWidth="1"/>
    <col min="61" max="61" width="3.125" style="0" customWidth="1"/>
    <col min="62" max="62" width="2.625" style="0" customWidth="1"/>
    <col min="63" max="63" width="3.75390625" style="0" customWidth="1"/>
  </cols>
  <sheetData>
    <row r="1" spans="1:63" s="37" customFormat="1" ht="9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</row>
    <row r="2" spans="1:63" s="37" customFormat="1" ht="9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</row>
    <row r="3" spans="1:54" s="4" customFormat="1" ht="10.5" customHeight="1">
      <c r="A3" s="5" t="s">
        <v>2</v>
      </c>
      <c r="BB3" s="5" t="s">
        <v>3</v>
      </c>
    </row>
    <row r="4" spans="1:47" s="6" customFormat="1" ht="9.75" customHeight="1">
      <c r="A4" s="6" t="s">
        <v>4</v>
      </c>
      <c r="AU4" s="6" t="s">
        <v>5</v>
      </c>
    </row>
    <row r="5" spans="1:50" s="6" customFormat="1" ht="9.75" customHeight="1">
      <c r="A5" s="6" t="s">
        <v>6</v>
      </c>
      <c r="AX5" s="6" t="s">
        <v>7</v>
      </c>
    </row>
    <row r="6" spans="1:51" s="6" customFormat="1" ht="9" customHeight="1">
      <c r="A6" s="6" t="s">
        <v>8</v>
      </c>
      <c r="AY6" s="6" t="s">
        <v>9</v>
      </c>
    </row>
    <row r="7" spans="1:63" s="6" customFormat="1" ht="5.2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</row>
    <row r="8" spans="1:63" s="1" customFormat="1" ht="12" customHeight="1">
      <c r="A8" s="209" t="s">
        <v>10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</row>
    <row r="9" spans="4:61" s="4" customFormat="1" ht="12.75" customHeight="1"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X9" s="204" t="s">
        <v>131</v>
      </c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BB9" s="204" t="s">
        <v>146</v>
      </c>
      <c r="BC9" s="204"/>
      <c r="BD9" s="204"/>
      <c r="BE9" s="204"/>
      <c r="BF9" s="204"/>
      <c r="BG9" s="204"/>
      <c r="BH9" s="204"/>
      <c r="BI9" s="204"/>
    </row>
    <row r="10" spans="4:61" s="4" customFormat="1" ht="12.75" customHeight="1"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BB10" s="204" t="s">
        <v>11</v>
      </c>
      <c r="BC10" s="204"/>
      <c r="BD10" s="204"/>
      <c r="BE10" s="204"/>
      <c r="BF10" s="204"/>
      <c r="BG10" s="204"/>
      <c r="BH10" s="204"/>
      <c r="BI10" s="204"/>
    </row>
    <row r="11" spans="42:63" s="4" customFormat="1" ht="10.5" customHeight="1">
      <c r="AP11" s="204"/>
      <c r="AQ11" s="204"/>
      <c r="AR11" s="204"/>
      <c r="AS11" s="204"/>
      <c r="AT11" s="204"/>
      <c r="AU11" s="204"/>
      <c r="AV11" s="204"/>
      <c r="AW11" s="204"/>
      <c r="BB11" s="203" t="s">
        <v>12</v>
      </c>
      <c r="BC11" s="203"/>
      <c r="BD11" s="203"/>
      <c r="BE11" s="203"/>
      <c r="BF11" s="203"/>
      <c r="BG11" s="203"/>
      <c r="BH11" s="203"/>
      <c r="BI11" s="203"/>
      <c r="BJ11" s="203"/>
      <c r="BK11" s="203"/>
    </row>
    <row r="12" spans="1:69" s="4" customFormat="1" ht="10.5" customHeight="1">
      <c r="A12" s="205" t="s">
        <v>13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38"/>
      <c r="BM12" s="38"/>
      <c r="BN12" s="38"/>
      <c r="BO12" s="38"/>
      <c r="BP12" s="38"/>
      <c r="BQ12" s="38"/>
    </row>
    <row r="13" spans="1:63" ht="4.5" customHeight="1" thickBo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</row>
    <row r="14" spans="1:63" s="6" customFormat="1" ht="10.5" customHeight="1" thickBot="1">
      <c r="A14" s="20"/>
      <c r="B14" s="21" t="str">
        <f>"СЕНТЯБРЬ"</f>
        <v>СЕНТЯБРЬ</v>
      </c>
      <c r="C14" s="18"/>
      <c r="D14" s="18"/>
      <c r="E14" s="22"/>
      <c r="F14" s="21" t="str">
        <f>"  ОКТЯБРЬ"</f>
        <v>  ОКТЯБРЬ</v>
      </c>
      <c r="G14" s="18"/>
      <c r="H14" s="18"/>
      <c r="I14" s="18"/>
      <c r="J14" s="22"/>
      <c r="K14" s="21" t="str">
        <f>" НОЯБРЬ"</f>
        <v> НОЯБРЬ</v>
      </c>
      <c r="L14" s="18"/>
      <c r="M14" s="18"/>
      <c r="N14" s="22"/>
      <c r="O14" s="21" t="str">
        <f>"ДЕКАБРЬ"</f>
        <v>ДЕКАБРЬ</v>
      </c>
      <c r="P14" s="18"/>
      <c r="Q14" s="18"/>
      <c r="R14" s="22"/>
      <c r="S14" s="21" t="str">
        <f>"ЯНВАРЬ"</f>
        <v>ЯНВАРЬ</v>
      </c>
      <c r="T14" s="18"/>
      <c r="U14" s="18"/>
      <c r="V14" s="22"/>
      <c r="W14" s="21" t="str">
        <f>"ФЕВРАЛЬ"</f>
        <v>ФЕВРАЛЬ</v>
      </c>
      <c r="X14" s="18"/>
      <c r="Y14" s="18"/>
      <c r="Z14" s="22"/>
      <c r="AA14" s="21" t="str">
        <f>"     МАРТ"</f>
        <v>     МАРТ</v>
      </c>
      <c r="AB14" s="18"/>
      <c r="AC14" s="18"/>
      <c r="AD14" s="18"/>
      <c r="AE14" s="22"/>
      <c r="AF14" s="21" t="str">
        <f>" АПРЕЛЬ"</f>
        <v> АПРЕЛЬ</v>
      </c>
      <c r="AG14" s="18"/>
      <c r="AH14" s="18"/>
      <c r="AI14" s="22"/>
      <c r="AJ14" s="21" t="str">
        <f>"     МАЙ"</f>
        <v>     МАЙ</v>
      </c>
      <c r="AK14" s="18"/>
      <c r="AL14" s="18"/>
      <c r="AM14" s="18"/>
      <c r="AN14" s="22"/>
      <c r="AO14" s="21" t="str">
        <f>"   ИЮНЬ"</f>
        <v>   ИЮНЬ</v>
      </c>
      <c r="AP14" s="18"/>
      <c r="AQ14" s="18"/>
      <c r="AR14" s="18"/>
      <c r="AS14" s="22"/>
      <c r="AT14" s="21" t="str">
        <f>"  ИЮЛЬ"</f>
        <v>  ИЮЛЬ</v>
      </c>
      <c r="AU14" s="18"/>
      <c r="AV14" s="18"/>
      <c r="AW14" s="22"/>
      <c r="AX14" s="21" t="str">
        <f>" АВГУСТ"</f>
        <v> АВГУСТ</v>
      </c>
      <c r="AY14" s="18"/>
      <c r="AZ14" s="18"/>
      <c r="BA14" s="22"/>
      <c r="BB14" s="23"/>
      <c r="BC14" s="23"/>
      <c r="BD14" s="23"/>
      <c r="BE14" s="23"/>
      <c r="BF14" s="23"/>
      <c r="BG14" s="23"/>
      <c r="BH14" s="23"/>
      <c r="BI14" s="23"/>
      <c r="BJ14" s="23"/>
      <c r="BK14" s="23"/>
    </row>
    <row r="15" spans="1:63" s="6" customFormat="1" ht="62.25" customHeight="1" thickBot="1">
      <c r="A15" s="24" t="s">
        <v>14</v>
      </c>
      <c r="B15" s="25" t="str">
        <f>"1               7 "</f>
        <v>1               7 </v>
      </c>
      <c r="C15" s="25" t="str">
        <f>"8             14"</f>
        <v>8             14</v>
      </c>
      <c r="D15" s="25" t="str">
        <f>"15            21"</f>
        <v>15            21</v>
      </c>
      <c r="E15" s="25" t="str">
        <f>"22            28"</f>
        <v>22            28</v>
      </c>
      <c r="F15" s="25" t="str">
        <f>"29              5"</f>
        <v>29              5</v>
      </c>
      <c r="G15" s="25" t="str">
        <f>"6             12"</f>
        <v>6             12</v>
      </c>
      <c r="H15" s="25" t="str">
        <f>"13            19"</f>
        <v>13            19</v>
      </c>
      <c r="I15" s="25" t="str">
        <f>"20            26"</f>
        <v>20            26</v>
      </c>
      <c r="J15" s="25" t="str">
        <f>"27              2"</f>
        <v>27              2</v>
      </c>
      <c r="K15" s="25" t="str">
        <f>"3               9"</f>
        <v>3               9</v>
      </c>
      <c r="L15" s="25" t="str">
        <f>"10            16"</f>
        <v>10            16</v>
      </c>
      <c r="M15" s="25" t="str">
        <f>"17            23"</f>
        <v>17            23</v>
      </c>
      <c r="N15" s="25" t="str">
        <f>"24            30"</f>
        <v>24            30</v>
      </c>
      <c r="O15" s="25" t="str">
        <f>"1               7"</f>
        <v>1               7</v>
      </c>
      <c r="P15" s="25" t="str">
        <f>"8             14"</f>
        <v>8             14</v>
      </c>
      <c r="Q15" s="25" t="str">
        <f>"15            21"</f>
        <v>15            21</v>
      </c>
      <c r="R15" s="25" t="str">
        <f>"22            28"</f>
        <v>22            28</v>
      </c>
      <c r="S15" s="25" t="str">
        <f>"29              4"</f>
        <v>29              4</v>
      </c>
      <c r="T15" s="25" t="str">
        <f>"5              11"</f>
        <v>5              11</v>
      </c>
      <c r="U15" s="25" t="str">
        <f>"12            18"</f>
        <v>12            18</v>
      </c>
      <c r="V15" s="25" t="str">
        <f>"19            25"</f>
        <v>19            25</v>
      </c>
      <c r="W15" s="25" t="str">
        <f>"26              1"</f>
        <v>26              1</v>
      </c>
      <c r="X15" s="25" t="str">
        <f>"2               8"</f>
        <v>2               8</v>
      </c>
      <c r="Y15" s="25" t="str">
        <f>"9              15"</f>
        <v>9              15</v>
      </c>
      <c r="Z15" s="25" t="str">
        <f>"16            22"</f>
        <v>16            22</v>
      </c>
      <c r="AA15" s="25" t="str">
        <f>"23              1"</f>
        <v>23              1</v>
      </c>
      <c r="AB15" s="25" t="str">
        <f>"2               8"</f>
        <v>2               8</v>
      </c>
      <c r="AC15" s="25" t="str">
        <f>"9              15"</f>
        <v>9              15</v>
      </c>
      <c r="AD15" s="25" t="str">
        <f>"16            22"</f>
        <v>16            22</v>
      </c>
      <c r="AE15" s="25" t="str">
        <f>"23            29"</f>
        <v>23            29</v>
      </c>
      <c r="AF15" s="25" t="str">
        <f>"30              5"</f>
        <v>30              5</v>
      </c>
      <c r="AG15" s="25" t="str">
        <f>"6              12"</f>
        <v>6              12</v>
      </c>
      <c r="AH15" s="25" t="str">
        <f>"13            19"</f>
        <v>13            19</v>
      </c>
      <c r="AI15" s="25" t="str">
        <f>"20            26"</f>
        <v>20            26</v>
      </c>
      <c r="AJ15" s="25" t="str">
        <f>"27              3"</f>
        <v>27              3</v>
      </c>
      <c r="AK15" s="25" t="str">
        <f>"4              10"</f>
        <v>4              10</v>
      </c>
      <c r="AL15" s="25" t="str">
        <f>"11            17"</f>
        <v>11            17</v>
      </c>
      <c r="AM15" s="25" t="str">
        <f>"18            24"</f>
        <v>18            24</v>
      </c>
      <c r="AN15" s="25" t="str">
        <f>"25            31"</f>
        <v>25            31</v>
      </c>
      <c r="AO15" s="25" t="str">
        <f>"1               7"</f>
        <v>1               7</v>
      </c>
      <c r="AP15" s="25" t="str">
        <f>"8              14"</f>
        <v>8              14</v>
      </c>
      <c r="AQ15" s="25" t="str">
        <f>"15            21"</f>
        <v>15            21</v>
      </c>
      <c r="AR15" s="25" t="str">
        <f>"22            28"</f>
        <v>22            28</v>
      </c>
      <c r="AS15" s="25" t="str">
        <f>"29              5"</f>
        <v>29              5</v>
      </c>
      <c r="AT15" s="25" t="str">
        <f>"6              12"</f>
        <v>6              12</v>
      </c>
      <c r="AU15" s="25" t="str">
        <f>"13            19"</f>
        <v>13            19</v>
      </c>
      <c r="AV15" s="25" t="str">
        <f>"20            26"</f>
        <v>20            26</v>
      </c>
      <c r="AW15" s="25" t="str">
        <f>"27              1"</f>
        <v>27              1</v>
      </c>
      <c r="AX15" s="25" t="str">
        <f>"2               8"</f>
        <v>2               8</v>
      </c>
      <c r="AY15" s="25" t="str">
        <f>"9              15"</f>
        <v>9              15</v>
      </c>
      <c r="AZ15" s="25" t="str">
        <f>"16            22"</f>
        <v>16            22</v>
      </c>
      <c r="BA15" s="25" t="str">
        <f>"23            31"</f>
        <v>23            31</v>
      </c>
      <c r="BB15" s="26" t="str">
        <f>"Теор.обуч."</f>
        <v>Теор.обуч.</v>
      </c>
      <c r="BC15" s="26" t="str">
        <f>"Экз.сессии"</f>
        <v>Экз.сессии</v>
      </c>
      <c r="BD15" s="26" t="str">
        <f>"Педаг.практ."</f>
        <v>Педаг.практ.</v>
      </c>
      <c r="BE15" s="26" t="str">
        <f>"Произв.практ."</f>
        <v>Произв.практ.</v>
      </c>
      <c r="BF15" s="26" t="str">
        <f>"н.-и. практ."</f>
        <v>н.-и. практ.</v>
      </c>
      <c r="BG15" s="26" t="str">
        <f>"Дип.работа"</f>
        <v>Дип.работа</v>
      </c>
      <c r="BH15" s="27" t="str">
        <f>"ГАК"</f>
        <v>ГАК</v>
      </c>
      <c r="BI15" s="27" t="str">
        <f>"Каникулы"</f>
        <v>Каникулы</v>
      </c>
      <c r="BJ15" s="27" t="str">
        <f>"Отпуск"</f>
        <v>Отпуск</v>
      </c>
      <c r="BK15" s="27" t="str">
        <f>"ИТОГО"</f>
        <v>ИТОГО</v>
      </c>
    </row>
    <row r="16" s="6" customFormat="1" ht="3.75" customHeight="1">
      <c r="BB16" s="28"/>
    </row>
    <row r="17" spans="1:63" s="6" customFormat="1" ht="10.5" customHeight="1">
      <c r="A17" s="29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 t="s">
        <v>15</v>
      </c>
      <c r="U17" s="8" t="s">
        <v>15</v>
      </c>
      <c r="V17" s="8" t="s">
        <v>15</v>
      </c>
      <c r="W17" s="8" t="s">
        <v>16</v>
      </c>
      <c r="X17" s="8" t="s">
        <v>16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8" t="s">
        <v>15</v>
      </c>
      <c r="AR17" s="8" t="s">
        <v>15</v>
      </c>
      <c r="AS17" s="8" t="s">
        <v>15</v>
      </c>
      <c r="AT17" s="8" t="s">
        <v>15</v>
      </c>
      <c r="AU17" s="14" t="s">
        <v>17</v>
      </c>
      <c r="AV17" s="8" t="s">
        <v>16</v>
      </c>
      <c r="AW17" s="8" t="s">
        <v>16</v>
      </c>
      <c r="AX17" s="8" t="s">
        <v>16</v>
      </c>
      <c r="AY17" s="8" t="s">
        <v>16</v>
      </c>
      <c r="AZ17" s="8" t="s">
        <v>16</v>
      </c>
      <c r="BA17" s="8" t="s">
        <v>16</v>
      </c>
      <c r="BB17" s="8">
        <v>36</v>
      </c>
      <c r="BC17" s="8">
        <v>7</v>
      </c>
      <c r="BD17" s="8"/>
      <c r="BE17" s="8">
        <v>1</v>
      </c>
      <c r="BF17" s="8"/>
      <c r="BG17" s="8"/>
      <c r="BH17" s="8"/>
      <c r="BI17" s="8">
        <v>8</v>
      </c>
      <c r="BJ17" s="8"/>
      <c r="BK17" s="8">
        <v>52</v>
      </c>
    </row>
    <row r="18" spans="1:63" s="6" customFormat="1" ht="10.5" customHeight="1">
      <c r="A18" s="29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 t="s">
        <v>15</v>
      </c>
      <c r="U18" s="8" t="s">
        <v>15</v>
      </c>
      <c r="V18" s="8" t="s">
        <v>15</v>
      </c>
      <c r="W18" s="8" t="s">
        <v>16</v>
      </c>
      <c r="X18" s="8" t="s">
        <v>16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8" t="s">
        <v>15</v>
      </c>
      <c r="AR18" s="8" t="s">
        <v>15</v>
      </c>
      <c r="AS18" s="8" t="s">
        <v>15</v>
      </c>
      <c r="AT18" s="8" t="s">
        <v>15</v>
      </c>
      <c r="AU18" s="14" t="s">
        <v>17</v>
      </c>
      <c r="AV18" s="8" t="s">
        <v>16</v>
      </c>
      <c r="AW18" s="8" t="s">
        <v>16</v>
      </c>
      <c r="AX18" s="8" t="s">
        <v>16</v>
      </c>
      <c r="AY18" s="8" t="s">
        <v>16</v>
      </c>
      <c r="AZ18" s="8" t="s">
        <v>16</v>
      </c>
      <c r="BA18" s="8" t="s">
        <v>16</v>
      </c>
      <c r="BB18" s="8">
        <v>36</v>
      </c>
      <c r="BC18" s="8">
        <v>7</v>
      </c>
      <c r="BD18" s="8"/>
      <c r="BE18" s="8">
        <v>1</v>
      </c>
      <c r="BF18" s="8"/>
      <c r="BG18" s="8"/>
      <c r="BH18" s="8"/>
      <c r="BI18" s="8">
        <v>8</v>
      </c>
      <c r="BJ18" s="8"/>
      <c r="BK18" s="8">
        <v>52</v>
      </c>
    </row>
    <row r="19" spans="1:63" s="6" customFormat="1" ht="10.5" customHeight="1">
      <c r="A19" s="29">
        <v>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 t="s">
        <v>15</v>
      </c>
      <c r="U19" s="8" t="s">
        <v>15</v>
      </c>
      <c r="V19" s="8" t="s">
        <v>15</v>
      </c>
      <c r="W19" s="8" t="s">
        <v>16</v>
      </c>
      <c r="X19" s="8" t="s">
        <v>16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8" t="s">
        <v>15</v>
      </c>
      <c r="AR19" s="8" t="s">
        <v>15</v>
      </c>
      <c r="AS19" s="8" t="s">
        <v>15</v>
      </c>
      <c r="AT19" s="14" t="s">
        <v>17</v>
      </c>
      <c r="AU19" s="14" t="s">
        <v>17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>
        <v>36</v>
      </c>
      <c r="BC19" s="8">
        <v>6</v>
      </c>
      <c r="BD19" s="30"/>
      <c r="BE19" s="8">
        <v>2</v>
      </c>
      <c r="BF19" s="8"/>
      <c r="BG19" s="8"/>
      <c r="BH19" s="8"/>
      <c r="BI19" s="8">
        <v>8</v>
      </c>
      <c r="BJ19" s="8"/>
      <c r="BK19" s="8">
        <v>52</v>
      </c>
    </row>
    <row r="20" spans="1:63" s="6" customFormat="1" ht="10.5" customHeight="1">
      <c r="A20" s="29">
        <v>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 t="s">
        <v>15</v>
      </c>
      <c r="U20" s="8" t="s">
        <v>15</v>
      </c>
      <c r="V20" s="8" t="s">
        <v>15</v>
      </c>
      <c r="W20" s="8" t="s">
        <v>16</v>
      </c>
      <c r="X20" s="8" t="s">
        <v>16</v>
      </c>
      <c r="Y20" s="14"/>
      <c r="Z20" s="14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" t="s">
        <v>15</v>
      </c>
      <c r="AR20" s="8" t="s">
        <v>15</v>
      </c>
      <c r="AS20" s="8" t="s">
        <v>15</v>
      </c>
      <c r="AT20" s="14" t="s">
        <v>17</v>
      </c>
      <c r="AU20" s="14" t="s">
        <v>17</v>
      </c>
      <c r="AV20" s="8" t="s">
        <v>16</v>
      </c>
      <c r="AW20" s="8" t="s">
        <v>16</v>
      </c>
      <c r="AX20" s="8" t="s">
        <v>16</v>
      </c>
      <c r="AY20" s="8" t="s">
        <v>16</v>
      </c>
      <c r="AZ20" s="8" t="s">
        <v>16</v>
      </c>
      <c r="BA20" s="8" t="s">
        <v>16</v>
      </c>
      <c r="BB20" s="8">
        <v>36</v>
      </c>
      <c r="BC20" s="8">
        <v>6</v>
      </c>
      <c r="BD20" s="30"/>
      <c r="BE20" s="8">
        <v>2</v>
      </c>
      <c r="BF20" s="8"/>
      <c r="BG20" s="8"/>
      <c r="BH20" s="8"/>
      <c r="BI20" s="8">
        <v>8</v>
      </c>
      <c r="BJ20" s="8"/>
      <c r="BK20" s="8">
        <v>52</v>
      </c>
    </row>
    <row r="21" spans="1:63" s="6" customFormat="1" ht="10.5" customHeight="1">
      <c r="A21" s="29">
        <v>5</v>
      </c>
      <c r="B21" s="14"/>
      <c r="C21" s="14"/>
      <c r="D21" s="14"/>
      <c r="E21" s="14"/>
      <c r="F21" s="14"/>
      <c r="G21" s="14"/>
      <c r="H21" s="14"/>
      <c r="I21" s="14"/>
      <c r="J21" s="9"/>
      <c r="K21" s="9"/>
      <c r="L21" s="9"/>
      <c r="M21" s="9"/>
      <c r="N21" s="9"/>
      <c r="O21" s="9"/>
      <c r="P21" s="8" t="s">
        <v>15</v>
      </c>
      <c r="Q21" s="8" t="s">
        <v>15</v>
      </c>
      <c r="R21" s="8" t="s">
        <v>16</v>
      </c>
      <c r="S21" s="8" t="s">
        <v>16</v>
      </c>
      <c r="T21" s="14" t="s">
        <v>18</v>
      </c>
      <c r="U21" s="14" t="s">
        <v>18</v>
      </c>
      <c r="V21" s="14" t="s">
        <v>18</v>
      </c>
      <c r="W21" s="14" t="s">
        <v>18</v>
      </c>
      <c r="X21" s="14" t="s">
        <v>18</v>
      </c>
      <c r="Y21" s="14" t="s">
        <v>18</v>
      </c>
      <c r="Z21" s="14" t="s">
        <v>19</v>
      </c>
      <c r="AA21" s="14" t="s">
        <v>19</v>
      </c>
      <c r="AB21" s="14" t="s">
        <v>19</v>
      </c>
      <c r="AC21" s="14" t="s">
        <v>19</v>
      </c>
      <c r="AD21" s="8" t="s">
        <v>19</v>
      </c>
      <c r="AE21" s="8" t="s">
        <v>19</v>
      </c>
      <c r="AF21" s="8" t="s">
        <v>19</v>
      </c>
      <c r="AG21" s="8" t="s">
        <v>19</v>
      </c>
      <c r="AH21" s="8" t="s">
        <v>19</v>
      </c>
      <c r="AI21" s="8" t="s">
        <v>19</v>
      </c>
      <c r="AJ21" s="8" t="s">
        <v>19</v>
      </c>
      <c r="AK21" s="8" t="s">
        <v>19</v>
      </c>
      <c r="AL21" s="8" t="s">
        <v>19</v>
      </c>
      <c r="AM21" s="8" t="s">
        <v>19</v>
      </c>
      <c r="AN21" s="8" t="s">
        <v>19</v>
      </c>
      <c r="AO21" s="8" t="s">
        <v>19</v>
      </c>
      <c r="AP21" s="8" t="s">
        <v>19</v>
      </c>
      <c r="AQ21" s="8" t="s">
        <v>19</v>
      </c>
      <c r="AR21" s="8" t="s">
        <v>20</v>
      </c>
      <c r="AS21" s="8" t="s">
        <v>20</v>
      </c>
      <c r="AT21" s="8" t="s">
        <v>21</v>
      </c>
      <c r="AU21" s="8" t="s">
        <v>21</v>
      </c>
      <c r="AV21" s="8" t="s">
        <v>21</v>
      </c>
      <c r="AW21" s="8" t="s">
        <v>21</v>
      </c>
      <c r="AX21" s="8" t="s">
        <v>21</v>
      </c>
      <c r="AY21" s="8" t="s">
        <v>21</v>
      </c>
      <c r="AZ21" s="8" t="s">
        <v>21</v>
      </c>
      <c r="BA21" s="8" t="s">
        <v>21</v>
      </c>
      <c r="BB21" s="8">
        <v>14</v>
      </c>
      <c r="BC21" s="8">
        <v>2</v>
      </c>
      <c r="BD21" s="30"/>
      <c r="BE21" s="8">
        <v>6</v>
      </c>
      <c r="BF21" s="8"/>
      <c r="BG21" s="8">
        <v>18</v>
      </c>
      <c r="BH21" s="8">
        <v>2</v>
      </c>
      <c r="BI21" s="8">
        <v>2</v>
      </c>
      <c r="BJ21" s="8">
        <v>8</v>
      </c>
      <c r="BK21" s="8">
        <v>52</v>
      </c>
    </row>
    <row r="22" spans="1:63" s="6" customFormat="1" ht="10.5" customHeight="1">
      <c r="A22" s="29">
        <v>6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8">
        <v>158</v>
      </c>
      <c r="BC22" s="8">
        <v>28</v>
      </c>
      <c r="BD22" s="30"/>
      <c r="BE22" s="8">
        <v>12</v>
      </c>
      <c r="BF22" s="8"/>
      <c r="BG22" s="8">
        <v>18</v>
      </c>
      <c r="BH22" s="8">
        <v>2</v>
      </c>
      <c r="BI22" s="8">
        <v>34</v>
      </c>
      <c r="BJ22" s="8">
        <v>8</v>
      </c>
      <c r="BK22" s="8">
        <v>260</v>
      </c>
    </row>
    <row r="23" s="6" customFormat="1" ht="5.25" customHeight="1" thickBot="1"/>
    <row r="24" spans="1:48" s="6" customFormat="1" ht="9.75" customHeight="1" thickBot="1">
      <c r="A24" s="31" t="str">
        <f>"ОБОЗНАЧЕНИЯ :"</f>
        <v>ОБОЗНАЧЕНИЯ :</v>
      </c>
      <c r="J24" s="32"/>
      <c r="K24" s="19" t="str">
        <f>"-"</f>
        <v>-</v>
      </c>
      <c r="L24" s="31" t="str">
        <f>"Теор.обучение"</f>
        <v>Теор.обучение</v>
      </c>
      <c r="T24" s="33" t="s">
        <v>15</v>
      </c>
      <c r="U24" s="19" t="str">
        <f>"-"</f>
        <v>-</v>
      </c>
      <c r="V24" s="34" t="str">
        <f>"Экз.сессии"</f>
        <v>Экз.сессии</v>
      </c>
      <c r="AB24" s="33" t="s">
        <v>22</v>
      </c>
      <c r="AC24" s="19" t="str">
        <f>"-"</f>
        <v>-</v>
      </c>
      <c r="AD24" s="31" t="str">
        <f>"Педаг.практ."</f>
        <v>Педаг.практ.</v>
      </c>
      <c r="AK24" s="33" t="s">
        <v>18</v>
      </c>
      <c r="AL24" s="19" t="str">
        <f>"-"</f>
        <v>-</v>
      </c>
      <c r="AM24" s="31" t="str">
        <f>"Произв.практ."</f>
        <v>Произв.практ.</v>
      </c>
      <c r="AT24" s="33" t="s">
        <v>17</v>
      </c>
      <c r="AU24" s="19" t="str">
        <f>"-"</f>
        <v>-</v>
      </c>
      <c r="AV24" s="31" t="s">
        <v>23</v>
      </c>
    </row>
    <row r="25" s="6" customFormat="1" ht="4.5" customHeight="1" thickBot="1"/>
    <row r="26" spans="10:43" s="6" customFormat="1" ht="9.75" customHeight="1" thickBot="1">
      <c r="J26" s="35" t="s">
        <v>16</v>
      </c>
      <c r="K26" s="19" t="s">
        <v>24</v>
      </c>
      <c r="L26" s="31" t="s">
        <v>25</v>
      </c>
      <c r="T26" s="36" t="s">
        <v>21</v>
      </c>
      <c r="U26" s="19" t="s">
        <v>24</v>
      </c>
      <c r="V26" s="31" t="s">
        <v>26</v>
      </c>
      <c r="AB26" s="35" t="s">
        <v>20</v>
      </c>
      <c r="AC26" s="19" t="s">
        <v>24</v>
      </c>
      <c r="AD26" s="31" t="s">
        <v>27</v>
      </c>
      <c r="AO26" s="35" t="s">
        <v>19</v>
      </c>
      <c r="AP26" s="19" t="s">
        <v>24</v>
      </c>
      <c r="AQ26" s="31" t="s">
        <v>28</v>
      </c>
    </row>
    <row r="27" s="6" customFormat="1" ht="11.25"/>
    <row r="28" s="3" customFormat="1" ht="12"/>
  </sheetData>
  <mergeCells count="11">
    <mergeCell ref="A12:BK13"/>
    <mergeCell ref="A7:BK7"/>
    <mergeCell ref="A8:BK8"/>
    <mergeCell ref="A1:BK1"/>
    <mergeCell ref="A2:BK2"/>
    <mergeCell ref="BB11:BK11"/>
    <mergeCell ref="AP11:AW11"/>
    <mergeCell ref="D9:V9"/>
    <mergeCell ref="X9:AP9"/>
    <mergeCell ref="BB9:BI9"/>
    <mergeCell ref="BB10:BI10"/>
  </mergeCells>
  <printOptions/>
  <pageMargins left="0" right="0" top="0.3937007874015748" bottom="0.5905511811023623" header="0.31496062992125984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workbookViewId="0" topLeftCell="R1">
      <selection activeCell="B14" sqref="B14:I14"/>
    </sheetView>
  </sheetViews>
  <sheetFormatPr defaultColWidth="9.00390625" defaultRowHeight="12.75" outlineLevelRow="1" outlineLevelCol="1"/>
  <cols>
    <col min="1" max="1" width="9.125" style="70" customWidth="1"/>
    <col min="2" max="2" width="32.00390625" style="70" customWidth="1"/>
    <col min="3" max="3" width="5.125" style="70" bestFit="1" customWidth="1"/>
    <col min="4" max="4" width="3.625" style="70" bestFit="1" customWidth="1"/>
    <col min="5" max="5" width="30.125" style="70" customWidth="1"/>
    <col min="6" max="8" width="2.625" style="70" customWidth="1"/>
    <col min="9" max="9" width="0.875" style="70" customWidth="1"/>
    <col min="10" max="10" width="9.25390625" style="70" customWidth="1"/>
    <col min="11" max="11" width="10.75390625" style="70" customWidth="1"/>
    <col min="12" max="12" width="4.625" style="70" customWidth="1"/>
    <col min="13" max="13" width="3.75390625" style="70" customWidth="1"/>
    <col min="14" max="14" width="2.625" style="70" customWidth="1"/>
    <col min="15" max="15" width="3.00390625" style="70" bestFit="1" customWidth="1"/>
    <col min="16" max="16" width="4.875" style="70" customWidth="1" outlineLevel="1"/>
    <col min="17" max="18" width="4.125" style="70" customWidth="1" outlineLevel="1"/>
    <col min="19" max="19" width="3.75390625" style="70" customWidth="1" outlineLevel="1"/>
    <col min="20" max="20" width="4.25390625" style="70" customWidth="1" outlineLevel="1"/>
    <col min="21" max="21" width="3.375" style="70" customWidth="1" outlineLevel="1"/>
    <col min="22" max="22" width="2.625" style="70" customWidth="1" outlineLevel="1"/>
    <col min="23" max="23" width="4.125" style="70" customWidth="1" outlineLevel="1"/>
    <col min="24" max="24" width="3.00390625" style="70" customWidth="1"/>
    <col min="25" max="26" width="2.625" style="70" customWidth="1"/>
    <col min="27" max="28" width="2.75390625" style="70" customWidth="1"/>
    <col min="29" max="30" width="2.625" style="70" customWidth="1"/>
    <col min="31" max="31" width="2.75390625" style="70" customWidth="1"/>
    <col min="32" max="32" width="2.625" style="70" customWidth="1"/>
    <col min="33" max="33" width="2.75390625" style="70" customWidth="1"/>
    <col min="34" max="53" width="2.625" style="70" customWidth="1"/>
    <col min="54" max="16384" width="9.125" style="70" customWidth="1"/>
  </cols>
  <sheetData>
    <row r="1" spans="1:33" ht="15.75" customHeight="1">
      <c r="A1" s="224" t="s">
        <v>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5" s="71" customFormat="1" ht="10.5" customHeight="1">
      <c r="A2" s="225" t="s">
        <v>67</v>
      </c>
      <c r="B2" s="261" t="str">
        <f>"НАИМЕНОВАНИЕ ДИСЦИПЛИН"</f>
        <v>НАИМЕНОВАНИЕ ДИСЦИПЛИН</v>
      </c>
      <c r="C2" s="262"/>
      <c r="D2" s="262"/>
      <c r="E2" s="262"/>
      <c r="F2" s="262"/>
      <c r="G2" s="262"/>
      <c r="H2" s="262"/>
      <c r="I2" s="263"/>
      <c r="J2" s="225" t="str">
        <f>"РАСПРЕДЕЛЕНИЕ ПО СЕМЕСТРАМ"</f>
        <v>РАСПРЕДЕЛЕНИЕ ПО СЕМЕСТРАМ</v>
      </c>
      <c r="K2" s="225"/>
      <c r="L2" s="225"/>
      <c r="M2" s="225"/>
      <c r="N2" s="177" t="str">
        <f>"ОБЪЕМ В ЧАСАХ"</f>
        <v>ОБЪЕМ В ЧАСАХ</v>
      </c>
      <c r="O2" s="178"/>
      <c r="P2" s="178"/>
      <c r="Q2" s="178"/>
      <c r="R2" s="178"/>
      <c r="S2" s="178"/>
      <c r="T2" s="178"/>
      <c r="U2" s="178"/>
      <c r="V2" s="178"/>
      <c r="W2" s="179"/>
      <c r="X2" s="225" t="str">
        <f>"Распред. по курсам и семестрам"</f>
        <v>Распред. по курсам и семестрам</v>
      </c>
      <c r="Y2" s="225"/>
      <c r="Z2" s="225"/>
      <c r="AA2" s="225"/>
      <c r="AB2" s="225"/>
      <c r="AC2" s="225"/>
      <c r="AD2" s="225"/>
      <c r="AE2" s="225"/>
      <c r="AF2" s="225"/>
      <c r="AG2" s="225"/>
      <c r="AH2" s="61"/>
      <c r="AI2" s="61"/>
    </row>
    <row r="3" spans="1:35" s="71" customFormat="1" ht="15" customHeight="1">
      <c r="A3" s="225"/>
      <c r="B3" s="264"/>
      <c r="C3" s="265"/>
      <c r="D3" s="265"/>
      <c r="E3" s="265"/>
      <c r="F3" s="265"/>
      <c r="G3" s="265"/>
      <c r="H3" s="265"/>
      <c r="I3" s="266"/>
      <c r="J3" s="225"/>
      <c r="K3" s="225"/>
      <c r="L3" s="225"/>
      <c r="M3" s="225"/>
      <c r="N3" s="180" t="str">
        <f>"Всего по госстандарту"</f>
        <v>Всего по госстандарту</v>
      </c>
      <c r="O3" s="181"/>
      <c r="P3" s="225" t="s">
        <v>68</v>
      </c>
      <c r="Q3" s="225"/>
      <c r="R3" s="225"/>
      <c r="S3" s="225"/>
      <c r="T3" s="225"/>
      <c r="U3" s="225"/>
      <c r="V3" s="225"/>
      <c r="W3" s="225"/>
      <c r="X3" s="225" t="s">
        <v>69</v>
      </c>
      <c r="Y3" s="225"/>
      <c r="Z3" s="225" t="s">
        <v>70</v>
      </c>
      <c r="AA3" s="225"/>
      <c r="AB3" s="225" t="s">
        <v>71</v>
      </c>
      <c r="AC3" s="225"/>
      <c r="AD3" s="225" t="s">
        <v>72</v>
      </c>
      <c r="AE3" s="225"/>
      <c r="AF3" s="225" t="s">
        <v>73</v>
      </c>
      <c r="AG3" s="225"/>
      <c r="AH3" s="223"/>
      <c r="AI3" s="223"/>
    </row>
    <row r="4" spans="1:33" s="71" customFormat="1" ht="15" customHeight="1">
      <c r="A4" s="225"/>
      <c r="B4" s="264"/>
      <c r="C4" s="265"/>
      <c r="D4" s="265"/>
      <c r="E4" s="265"/>
      <c r="F4" s="265"/>
      <c r="G4" s="265"/>
      <c r="H4" s="265"/>
      <c r="I4" s="266"/>
      <c r="J4" s="225"/>
      <c r="K4" s="225"/>
      <c r="L4" s="225"/>
      <c r="M4" s="225"/>
      <c r="N4" s="182"/>
      <c r="O4" s="183"/>
      <c r="P4" s="198" t="str">
        <f>"Общее количество"</f>
        <v>Общее количество</v>
      </c>
      <c r="Q4" s="225" t="s">
        <v>68</v>
      </c>
      <c r="R4" s="225"/>
      <c r="S4" s="225"/>
      <c r="T4" s="225"/>
      <c r="U4" s="225"/>
      <c r="V4" s="198" t="str">
        <f>"Курсовые работы"</f>
        <v>Курсовые работы</v>
      </c>
      <c r="W4" s="198" t="str">
        <f>"Самостоят. работа"</f>
        <v>Самостоят. работа</v>
      </c>
      <c r="X4" s="225">
        <v>1</v>
      </c>
      <c r="Y4" s="225">
        <v>2</v>
      </c>
      <c r="Z4" s="225">
        <v>3</v>
      </c>
      <c r="AA4" s="225">
        <v>4</v>
      </c>
      <c r="AB4" s="225">
        <v>5</v>
      </c>
      <c r="AC4" s="225">
        <v>6</v>
      </c>
      <c r="AD4" s="225">
        <v>7</v>
      </c>
      <c r="AE4" s="225">
        <v>8</v>
      </c>
      <c r="AF4" s="225">
        <v>9</v>
      </c>
      <c r="AG4" s="225">
        <v>10</v>
      </c>
    </row>
    <row r="5" spans="1:33" s="71" customFormat="1" ht="15" customHeight="1">
      <c r="A5" s="225"/>
      <c r="B5" s="264"/>
      <c r="C5" s="265"/>
      <c r="D5" s="265"/>
      <c r="E5" s="265"/>
      <c r="F5" s="265"/>
      <c r="G5" s="265"/>
      <c r="H5" s="265"/>
      <c r="I5" s="266"/>
      <c r="J5" s="198" t="str">
        <f>"Экзаменов"</f>
        <v>Экзаменов</v>
      </c>
      <c r="K5" s="198" t="str">
        <f>"Зачетов"</f>
        <v>Зачетов</v>
      </c>
      <c r="L5" s="198" t="s">
        <v>66</v>
      </c>
      <c r="M5" s="198" t="str">
        <f>"Курсовых проектов"</f>
        <v>Курсовых проектов</v>
      </c>
      <c r="N5" s="182"/>
      <c r="O5" s="183"/>
      <c r="P5" s="198"/>
      <c r="Q5" s="198" t="str">
        <f>"Всего аудиторных"</f>
        <v>Всего аудиторных</v>
      </c>
      <c r="R5" s="198" t="str">
        <f>"Лекции"</f>
        <v>Лекции</v>
      </c>
      <c r="S5" s="198" t="str">
        <f>"Лабораторные занятия"</f>
        <v>Лабораторные занятия</v>
      </c>
      <c r="T5" s="198" t="str">
        <f>"Практические занятия"</f>
        <v>Практические занятия</v>
      </c>
      <c r="U5" s="198" t="str">
        <f>"Семинарские занятия"</f>
        <v>Семинарские занятия</v>
      </c>
      <c r="V5" s="198"/>
      <c r="W5" s="198"/>
      <c r="X5" s="225"/>
      <c r="Y5" s="225"/>
      <c r="Z5" s="225"/>
      <c r="AA5" s="225"/>
      <c r="AB5" s="225"/>
      <c r="AC5" s="225"/>
      <c r="AD5" s="225"/>
      <c r="AE5" s="225"/>
      <c r="AF5" s="225"/>
      <c r="AG5" s="225"/>
    </row>
    <row r="6" spans="1:33" s="71" customFormat="1" ht="15" customHeight="1">
      <c r="A6" s="225"/>
      <c r="B6" s="264"/>
      <c r="C6" s="265"/>
      <c r="D6" s="265"/>
      <c r="E6" s="265"/>
      <c r="F6" s="265"/>
      <c r="G6" s="265"/>
      <c r="H6" s="265"/>
      <c r="I6" s="266"/>
      <c r="J6" s="198"/>
      <c r="K6" s="198"/>
      <c r="L6" s="198"/>
      <c r="M6" s="198"/>
      <c r="N6" s="182"/>
      <c r="O6" s="183"/>
      <c r="P6" s="198"/>
      <c r="Q6" s="198"/>
      <c r="R6" s="198"/>
      <c r="S6" s="198"/>
      <c r="T6" s="198"/>
      <c r="U6" s="198"/>
      <c r="V6" s="198"/>
      <c r="W6" s="198"/>
      <c r="X6" s="225" t="s">
        <v>74</v>
      </c>
      <c r="Y6" s="225"/>
      <c r="Z6" s="225"/>
      <c r="AA6" s="225"/>
      <c r="AB6" s="225"/>
      <c r="AC6" s="225"/>
      <c r="AD6" s="225"/>
      <c r="AE6" s="225"/>
      <c r="AF6" s="225"/>
      <c r="AG6" s="225"/>
    </row>
    <row r="7" spans="1:33" s="71" customFormat="1" ht="15" customHeight="1">
      <c r="A7" s="225"/>
      <c r="B7" s="264"/>
      <c r="C7" s="265"/>
      <c r="D7" s="265"/>
      <c r="E7" s="265"/>
      <c r="F7" s="265"/>
      <c r="G7" s="265"/>
      <c r="H7" s="265"/>
      <c r="I7" s="266"/>
      <c r="J7" s="198"/>
      <c r="K7" s="198"/>
      <c r="L7" s="198"/>
      <c r="M7" s="198"/>
      <c r="N7" s="182"/>
      <c r="O7" s="183"/>
      <c r="P7" s="198"/>
      <c r="Q7" s="198"/>
      <c r="R7" s="198"/>
      <c r="S7" s="198"/>
      <c r="T7" s="198"/>
      <c r="U7" s="198"/>
      <c r="V7" s="198"/>
      <c r="W7" s="198"/>
      <c r="X7" s="225">
        <v>18</v>
      </c>
      <c r="Y7" s="225">
        <v>18</v>
      </c>
      <c r="Z7" s="225">
        <v>18</v>
      </c>
      <c r="AA7" s="225">
        <v>18</v>
      </c>
      <c r="AB7" s="225">
        <v>18</v>
      </c>
      <c r="AC7" s="225">
        <v>18</v>
      </c>
      <c r="AD7" s="225">
        <v>18</v>
      </c>
      <c r="AE7" s="225">
        <v>18</v>
      </c>
      <c r="AF7" s="225">
        <v>14</v>
      </c>
      <c r="AG7" s="225">
        <v>0</v>
      </c>
    </row>
    <row r="8" spans="1:33" s="71" customFormat="1" ht="15" customHeight="1">
      <c r="A8" s="225"/>
      <c r="B8" s="264"/>
      <c r="C8" s="265"/>
      <c r="D8" s="265"/>
      <c r="E8" s="265"/>
      <c r="F8" s="265"/>
      <c r="G8" s="265"/>
      <c r="H8" s="265"/>
      <c r="I8" s="266"/>
      <c r="J8" s="198"/>
      <c r="K8" s="198"/>
      <c r="L8" s="198"/>
      <c r="M8" s="198"/>
      <c r="N8" s="182"/>
      <c r="O8" s="183"/>
      <c r="P8" s="198"/>
      <c r="Q8" s="198"/>
      <c r="R8" s="198"/>
      <c r="S8" s="198"/>
      <c r="T8" s="198"/>
      <c r="U8" s="198"/>
      <c r="V8" s="198"/>
      <c r="W8" s="198"/>
      <c r="X8" s="225"/>
      <c r="Y8" s="225"/>
      <c r="Z8" s="225"/>
      <c r="AA8" s="225"/>
      <c r="AB8" s="225"/>
      <c r="AC8" s="225"/>
      <c r="AD8" s="225"/>
      <c r="AE8" s="225"/>
      <c r="AF8" s="225"/>
      <c r="AG8" s="225"/>
    </row>
    <row r="9" spans="1:33" s="71" customFormat="1" ht="15" customHeight="1">
      <c r="A9" s="225"/>
      <c r="B9" s="267"/>
      <c r="C9" s="268"/>
      <c r="D9" s="268"/>
      <c r="E9" s="268"/>
      <c r="F9" s="268"/>
      <c r="G9" s="268"/>
      <c r="H9" s="268"/>
      <c r="I9" s="269"/>
      <c r="J9" s="198"/>
      <c r="K9" s="198"/>
      <c r="L9" s="198"/>
      <c r="M9" s="198"/>
      <c r="N9" s="184"/>
      <c r="O9" s="185"/>
      <c r="P9" s="198"/>
      <c r="Q9" s="198"/>
      <c r="R9" s="198"/>
      <c r="S9" s="198"/>
      <c r="T9" s="198"/>
      <c r="U9" s="198"/>
      <c r="V9" s="198"/>
      <c r="W9" s="198"/>
      <c r="X9" s="225" t="s">
        <v>75</v>
      </c>
      <c r="Y9" s="225"/>
      <c r="Z9" s="225"/>
      <c r="AA9" s="225"/>
      <c r="AB9" s="225"/>
      <c r="AC9" s="225"/>
      <c r="AD9" s="225"/>
      <c r="AE9" s="225"/>
      <c r="AF9" s="225"/>
      <c r="AG9" s="225"/>
    </row>
    <row r="10" spans="1:34" s="71" customFormat="1" ht="21.75" customHeight="1">
      <c r="A10" s="98" t="str">
        <f>"ГСЭ.00"</f>
        <v>ГСЭ.00</v>
      </c>
      <c r="B10" s="258" t="str">
        <f>"Общие гуманитарные и социально-экономические дисциплины"</f>
        <v>Общие гуманитарные и социально-экономические дисциплины</v>
      </c>
      <c r="C10" s="259"/>
      <c r="D10" s="259"/>
      <c r="E10" s="259"/>
      <c r="F10" s="259"/>
      <c r="G10" s="259"/>
      <c r="H10" s="259"/>
      <c r="I10" s="260"/>
      <c r="J10" s="112">
        <v>12248</v>
      </c>
      <c r="K10" s="113" t="s">
        <v>132</v>
      </c>
      <c r="L10" s="114"/>
      <c r="M10" s="68"/>
      <c r="N10" s="212">
        <v>1800</v>
      </c>
      <c r="O10" s="213"/>
      <c r="P10" s="2">
        <f aca="true" t="shared" si="0" ref="P10:U10">P11+P17+P18</f>
        <v>1800</v>
      </c>
      <c r="Q10" s="2">
        <f t="shared" si="0"/>
        <v>1038</v>
      </c>
      <c r="R10" s="2">
        <f t="shared" si="0"/>
        <v>242</v>
      </c>
      <c r="S10" s="2"/>
      <c r="T10" s="2">
        <f t="shared" si="0"/>
        <v>634</v>
      </c>
      <c r="U10" s="2">
        <f t="shared" si="0"/>
        <v>162</v>
      </c>
      <c r="V10" s="2"/>
      <c r="W10" s="89">
        <f aca="true" t="shared" si="1" ref="W10:W73">P10-Q10-V10</f>
        <v>762</v>
      </c>
      <c r="X10" s="2">
        <f aca="true" t="shared" si="2" ref="X10:AE10">X11+X17+X18</f>
        <v>11</v>
      </c>
      <c r="Y10" s="2">
        <f t="shared" si="2"/>
        <v>13</v>
      </c>
      <c r="Z10" s="2">
        <f t="shared" si="2"/>
        <v>8</v>
      </c>
      <c r="AA10" s="2">
        <f t="shared" si="2"/>
        <v>10</v>
      </c>
      <c r="AB10" s="2">
        <f t="shared" si="2"/>
        <v>4</v>
      </c>
      <c r="AC10" s="2">
        <f t="shared" si="2"/>
        <v>4</v>
      </c>
      <c r="AD10" s="2">
        <f t="shared" si="2"/>
        <v>2</v>
      </c>
      <c r="AE10" s="2">
        <f t="shared" si="2"/>
        <v>6</v>
      </c>
      <c r="AF10" s="82"/>
      <c r="AG10" s="82"/>
      <c r="AH10" s="72"/>
    </row>
    <row r="11" spans="1:34" s="71" customFormat="1" ht="10.5" customHeight="1">
      <c r="A11" s="8" t="str">
        <f>"ГСЭФ.00"</f>
        <v>ГСЭФ.00</v>
      </c>
      <c r="B11" s="270" t="str">
        <f>"Федеральный компонент"</f>
        <v>Федеральный компонент</v>
      </c>
      <c r="C11" s="271"/>
      <c r="D11" s="271"/>
      <c r="E11" s="271"/>
      <c r="F11" s="271"/>
      <c r="G11" s="271"/>
      <c r="H11" s="271"/>
      <c r="I11" s="272"/>
      <c r="J11" s="93"/>
      <c r="K11" s="93"/>
      <c r="L11" s="93"/>
      <c r="M11" s="68"/>
      <c r="N11" s="214">
        <v>1260</v>
      </c>
      <c r="O11" s="215"/>
      <c r="P11" s="8">
        <f>SUM(P12:P16)</f>
        <v>1260</v>
      </c>
      <c r="Q11" s="8">
        <f>SUM(Q12:Q16)</f>
        <v>768</v>
      </c>
      <c r="R11" s="8">
        <f>SUM(R12:R16)</f>
        <v>134</v>
      </c>
      <c r="S11" s="8"/>
      <c r="T11" s="8">
        <f>SUM(T12:T16)</f>
        <v>562</v>
      </c>
      <c r="U11" s="8">
        <f>SUM(U12:U16)</f>
        <v>72</v>
      </c>
      <c r="V11" s="8"/>
      <c r="W11" s="89">
        <f t="shared" si="1"/>
        <v>492</v>
      </c>
      <c r="X11" s="8">
        <f>SUM(X12:X16)</f>
        <v>9</v>
      </c>
      <c r="Y11" s="8">
        <f aca="true" t="shared" si="3" ref="Y11:AE11">SUM(Y12:Y16)</f>
        <v>8</v>
      </c>
      <c r="Z11" s="8">
        <f t="shared" si="3"/>
        <v>6</v>
      </c>
      <c r="AA11" s="8">
        <f t="shared" si="3"/>
        <v>8</v>
      </c>
      <c r="AB11" s="8">
        <f t="shared" si="3"/>
        <v>2</v>
      </c>
      <c r="AC11" s="8">
        <f t="shared" si="3"/>
        <v>2</v>
      </c>
      <c r="AD11" s="8">
        <f t="shared" si="3"/>
        <v>2</v>
      </c>
      <c r="AE11" s="8">
        <f t="shared" si="3"/>
        <v>6</v>
      </c>
      <c r="AF11" s="8"/>
      <c r="AG11" s="8"/>
      <c r="AH11" s="72"/>
    </row>
    <row r="12" spans="1:34" s="71" customFormat="1" ht="10.5" customHeight="1">
      <c r="A12" s="8" t="str">
        <f>"ГСЭФ.01"</f>
        <v>ГСЭФ.01</v>
      </c>
      <c r="B12" s="190" t="str">
        <f>"Иностранный язык"</f>
        <v>Иностранный язык</v>
      </c>
      <c r="C12" s="191"/>
      <c r="D12" s="191"/>
      <c r="E12" s="191"/>
      <c r="F12" s="191"/>
      <c r="G12" s="191"/>
      <c r="H12" s="191"/>
      <c r="I12" s="192"/>
      <c r="J12" s="87">
        <v>24</v>
      </c>
      <c r="K12" s="87">
        <v>13</v>
      </c>
      <c r="L12" s="9"/>
      <c r="M12" s="68"/>
      <c r="N12" s="216">
        <v>340</v>
      </c>
      <c r="O12" s="217"/>
      <c r="P12" s="131">
        <v>340</v>
      </c>
      <c r="Q12" s="8">
        <f>X12*$X$7+Y12*$Y$7+Z12*$Z$7+AA12*$AA$7+AB12*$AB$7+AC12*$AC$7+AD12*$AD$7++AE12*$AE$7++AF12*$AF$7++AG12*$AG$7</f>
        <v>180</v>
      </c>
      <c r="R12" s="10"/>
      <c r="S12" s="10"/>
      <c r="T12" s="10">
        <v>180</v>
      </c>
      <c r="U12" s="10"/>
      <c r="V12" s="10"/>
      <c r="W12" s="89">
        <f t="shared" si="1"/>
        <v>160</v>
      </c>
      <c r="X12" s="8">
        <v>2</v>
      </c>
      <c r="Y12" s="8">
        <v>4</v>
      </c>
      <c r="Z12" s="8">
        <v>2</v>
      </c>
      <c r="AA12" s="8">
        <v>2</v>
      </c>
      <c r="AB12" s="8"/>
      <c r="AC12" s="8"/>
      <c r="AD12" s="8"/>
      <c r="AE12" s="8"/>
      <c r="AF12" s="8"/>
      <c r="AG12" s="8"/>
      <c r="AH12" s="72"/>
    </row>
    <row r="13" spans="1:34" s="71" customFormat="1" ht="10.5" customHeight="1">
      <c r="A13" s="8" t="str">
        <f>"ГСЭФ.02"</f>
        <v>ГСЭФ.02</v>
      </c>
      <c r="B13" s="273" t="str">
        <f>"Физическая культура"</f>
        <v>Физическая культура</v>
      </c>
      <c r="C13" s="274"/>
      <c r="D13" s="274"/>
      <c r="E13" s="274"/>
      <c r="F13" s="274"/>
      <c r="G13" s="274"/>
      <c r="H13" s="274"/>
      <c r="I13" s="275"/>
      <c r="J13" s="78"/>
      <c r="K13" s="8">
        <v>2468</v>
      </c>
      <c r="L13" s="9"/>
      <c r="M13" s="68"/>
      <c r="N13" s="216">
        <v>408</v>
      </c>
      <c r="O13" s="217"/>
      <c r="P13" s="132">
        <v>408</v>
      </c>
      <c r="Q13" s="8">
        <v>408</v>
      </c>
      <c r="R13" s="10">
        <v>26</v>
      </c>
      <c r="S13" s="10"/>
      <c r="T13" s="10">
        <v>382</v>
      </c>
      <c r="U13" s="10"/>
      <c r="V13" s="10"/>
      <c r="W13" s="89"/>
      <c r="X13" s="8">
        <v>4</v>
      </c>
      <c r="Y13" s="8">
        <v>4</v>
      </c>
      <c r="Z13" s="8">
        <v>4</v>
      </c>
      <c r="AA13" s="8">
        <v>3</v>
      </c>
      <c r="AB13" s="8">
        <v>2</v>
      </c>
      <c r="AC13" s="8">
        <v>2</v>
      </c>
      <c r="AD13" s="8">
        <v>2</v>
      </c>
      <c r="AE13" s="8">
        <v>2</v>
      </c>
      <c r="AF13" s="8"/>
      <c r="AG13" s="8"/>
      <c r="AH13" s="72"/>
    </row>
    <row r="14" spans="1:34" s="71" customFormat="1" ht="10.5" customHeight="1">
      <c r="A14" s="8" t="str">
        <f>"ГСЭФ.03"</f>
        <v>ГСЭФ.03</v>
      </c>
      <c r="B14" s="273" t="str">
        <f>"Отечественная история"</f>
        <v>Отечественная история</v>
      </c>
      <c r="C14" s="274"/>
      <c r="D14" s="274"/>
      <c r="E14" s="274"/>
      <c r="F14" s="274"/>
      <c r="G14" s="274"/>
      <c r="H14" s="274"/>
      <c r="I14" s="275"/>
      <c r="J14" s="8">
        <v>1</v>
      </c>
      <c r="K14" s="8"/>
      <c r="L14" s="94"/>
      <c r="M14" s="68"/>
      <c r="N14" s="214"/>
      <c r="O14" s="215"/>
      <c r="P14" s="131">
        <v>176</v>
      </c>
      <c r="Q14" s="8">
        <f aca="true" t="shared" si="4" ref="Q14:Q45">X14*$X$7+Y14*$Y$7+Z14*$Z$7+AA14*$AA$7+AB14*$AB$7+AC14*$AC$7+AD14*$AD$7++AE14*$AE$7++AF14*$AF$7++AG14*$AG$7</f>
        <v>54</v>
      </c>
      <c r="R14" s="10">
        <v>36</v>
      </c>
      <c r="S14" s="10"/>
      <c r="T14" s="10"/>
      <c r="U14" s="10">
        <v>18</v>
      </c>
      <c r="V14" s="10"/>
      <c r="W14" s="89">
        <f t="shared" si="1"/>
        <v>122</v>
      </c>
      <c r="X14" s="8">
        <v>3</v>
      </c>
      <c r="Y14" s="8"/>
      <c r="Z14" s="8"/>
      <c r="AA14" s="8"/>
      <c r="AB14" s="8"/>
      <c r="AC14" s="8"/>
      <c r="AD14" s="8"/>
      <c r="AE14" s="8"/>
      <c r="AF14" s="8"/>
      <c r="AG14" s="8"/>
      <c r="AH14" s="72"/>
    </row>
    <row r="15" spans="1:34" s="71" customFormat="1" ht="10.5" customHeight="1">
      <c r="A15" s="8" t="str">
        <f>"ГСЭФ.07"</f>
        <v>ГСЭФ.07</v>
      </c>
      <c r="B15" s="190" t="s">
        <v>141</v>
      </c>
      <c r="C15" s="191"/>
      <c r="D15" s="191"/>
      <c r="E15" s="191"/>
      <c r="F15" s="191"/>
      <c r="G15" s="191"/>
      <c r="H15" s="191"/>
      <c r="I15" s="192"/>
      <c r="J15" s="104"/>
      <c r="K15" s="115">
        <v>4</v>
      </c>
      <c r="L15" s="104"/>
      <c r="M15" s="68"/>
      <c r="N15" s="216"/>
      <c r="O15" s="217"/>
      <c r="P15" s="132">
        <v>160</v>
      </c>
      <c r="Q15" s="8">
        <f>X15*$X$7+Y15*$Y$7+Z15*$Z$7+AA15*$AA$7+AB15*$AB$7+AC15*$AC$7+AD15*$AD$7+AE15*$AE$7+AF15*$AF$7+AG15*$AG$7</f>
        <v>54</v>
      </c>
      <c r="R15" s="10">
        <v>36</v>
      </c>
      <c r="S15" s="10"/>
      <c r="T15" s="10"/>
      <c r="U15" s="10">
        <v>18</v>
      </c>
      <c r="V15" s="10"/>
      <c r="W15" s="89">
        <f t="shared" si="1"/>
        <v>106</v>
      </c>
      <c r="X15" s="8"/>
      <c r="Y15" s="8"/>
      <c r="Z15" s="8"/>
      <c r="AA15" s="8">
        <v>3</v>
      </c>
      <c r="AB15" s="8"/>
      <c r="AC15" s="8"/>
      <c r="AD15" s="8"/>
      <c r="AE15" s="8"/>
      <c r="AF15" s="8"/>
      <c r="AG15" s="8"/>
      <c r="AH15" s="72"/>
    </row>
    <row r="16" spans="1:34" s="71" customFormat="1" ht="10.5" customHeight="1">
      <c r="A16" s="8" t="str">
        <f>"ГСЭФ.10"</f>
        <v>ГСЭФ.10</v>
      </c>
      <c r="B16" s="210" t="s">
        <v>142</v>
      </c>
      <c r="C16" s="186"/>
      <c r="D16" s="186"/>
      <c r="E16" s="186"/>
      <c r="F16" s="186"/>
      <c r="G16" s="186"/>
      <c r="H16" s="186"/>
      <c r="I16" s="211"/>
      <c r="J16" s="115">
        <v>8</v>
      </c>
      <c r="K16" s="115"/>
      <c r="L16" s="104"/>
      <c r="M16" s="68"/>
      <c r="N16" s="216"/>
      <c r="O16" s="217"/>
      <c r="P16" s="132">
        <v>176</v>
      </c>
      <c r="Q16" s="8">
        <f>X16*$X$7+Y16*$Y$7+Z16*$Z$7+AA16*$AA$7+AB16*$AB$7+AC16*$AC$7+AD16*$AD$7+AE16*$AE$7+AF16*$AF$7+AG16*$AG$7</f>
        <v>72</v>
      </c>
      <c r="R16" s="10">
        <v>36</v>
      </c>
      <c r="S16" s="10"/>
      <c r="T16" s="10"/>
      <c r="U16" s="10">
        <v>36</v>
      </c>
      <c r="V16" s="10"/>
      <c r="W16" s="89">
        <f t="shared" si="1"/>
        <v>104</v>
      </c>
      <c r="X16" s="8"/>
      <c r="Y16" s="8"/>
      <c r="Z16" s="8"/>
      <c r="AA16" s="8"/>
      <c r="AB16" s="8"/>
      <c r="AC16" s="8"/>
      <c r="AD16" s="8"/>
      <c r="AE16" s="8">
        <v>4</v>
      </c>
      <c r="AF16" s="8"/>
      <c r="AG16" s="8"/>
      <c r="AH16" s="72"/>
    </row>
    <row r="17" spans="1:34" s="72" customFormat="1" ht="9.75" customHeight="1">
      <c r="A17" s="8" t="str">
        <f>"ГСЭР.00"</f>
        <v>ГСЭР.00</v>
      </c>
      <c r="B17" s="173" t="str">
        <f>"Национально-региональный (вузовский) компонент"</f>
        <v>Национально-региональный (вузовский) компонент</v>
      </c>
      <c r="C17" s="174"/>
      <c r="D17" s="174"/>
      <c r="E17" s="174"/>
      <c r="F17" s="174"/>
      <c r="G17" s="174"/>
      <c r="H17" s="174"/>
      <c r="I17" s="175"/>
      <c r="J17" s="11">
        <v>2</v>
      </c>
      <c r="K17" s="11">
        <v>2</v>
      </c>
      <c r="L17" s="105"/>
      <c r="M17" s="48"/>
      <c r="N17" s="214">
        <v>270</v>
      </c>
      <c r="O17" s="215"/>
      <c r="P17" s="132">
        <v>270</v>
      </c>
      <c r="Q17" s="8">
        <f>X17*$X$7+Y17*$Y$7+Z17*$Z$7+AA17*$AA$7+AB17*$AB$7+AC17*$AC$7+AD17*$AD$7+AE17*$AE$7+AF17*$AF$7+AG17*$AG$7</f>
        <v>126</v>
      </c>
      <c r="R17" s="10">
        <v>36</v>
      </c>
      <c r="S17" s="10"/>
      <c r="T17" s="10">
        <v>72</v>
      </c>
      <c r="U17" s="10">
        <v>18</v>
      </c>
      <c r="V17" s="10"/>
      <c r="W17" s="89">
        <f t="shared" si="1"/>
        <v>144</v>
      </c>
      <c r="X17" s="8">
        <v>2</v>
      </c>
      <c r="Y17" s="8">
        <v>5</v>
      </c>
      <c r="Z17" s="8"/>
      <c r="AA17" s="8"/>
      <c r="AB17" s="8"/>
      <c r="AC17" s="8"/>
      <c r="AD17" s="8"/>
      <c r="AE17" s="8"/>
      <c r="AF17" s="8"/>
      <c r="AG17" s="8"/>
      <c r="AH17" s="71"/>
    </row>
    <row r="18" spans="1:33" s="71" customFormat="1" ht="9.75" customHeight="1" outlineLevel="1">
      <c r="A18" s="8" t="str">
        <f>"ГСЭВ.00"</f>
        <v>ГСЭВ.00</v>
      </c>
      <c r="B18" s="236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18" s="237"/>
      <c r="D18" s="237"/>
      <c r="E18" s="237"/>
      <c r="F18" s="237"/>
      <c r="G18" s="237"/>
      <c r="H18" s="237"/>
      <c r="I18" s="238"/>
      <c r="J18" s="8"/>
      <c r="K18" s="8">
        <v>3456</v>
      </c>
      <c r="L18" s="12"/>
      <c r="M18" s="49"/>
      <c r="N18" s="214">
        <v>270</v>
      </c>
      <c r="O18" s="215"/>
      <c r="P18" s="132">
        <v>270</v>
      </c>
      <c r="Q18" s="8">
        <f>X18*$X$7+Y18*$Y$7+Z18*$Z$7+AA18*$AA$7+AB18*$AB$7+AC18*$AC$7+AD18*$AD$7+AE18*$AE$7+AF18*$AF$7+AG18*$AG$7</f>
        <v>144</v>
      </c>
      <c r="R18" s="8">
        <v>72</v>
      </c>
      <c r="S18" s="8"/>
      <c r="T18" s="8"/>
      <c r="U18" s="8">
        <v>72</v>
      </c>
      <c r="V18" s="8"/>
      <c r="W18" s="89">
        <f t="shared" si="1"/>
        <v>126</v>
      </c>
      <c r="X18" s="8"/>
      <c r="Y18" s="8"/>
      <c r="Z18" s="8">
        <v>2</v>
      </c>
      <c r="AA18" s="8">
        <v>2</v>
      </c>
      <c r="AB18" s="8">
        <v>2</v>
      </c>
      <c r="AC18" s="8">
        <v>2</v>
      </c>
      <c r="AD18" s="8"/>
      <c r="AE18" s="8"/>
      <c r="AF18" s="8"/>
      <c r="AG18" s="8"/>
    </row>
    <row r="19" spans="1:33" s="71" customFormat="1" ht="22.5" customHeight="1" outlineLevel="1">
      <c r="A19" s="98" t="str">
        <f>"ЕН"</f>
        <v>ЕН</v>
      </c>
      <c r="B19" s="258" t="str">
        <f>"Общие математические и естественно-научные дисциплины"</f>
        <v>Общие математические и естественно-научные дисциплины</v>
      </c>
      <c r="C19" s="259"/>
      <c r="D19" s="259"/>
      <c r="E19" s="259"/>
      <c r="F19" s="259"/>
      <c r="G19" s="259"/>
      <c r="H19" s="259"/>
      <c r="I19" s="260"/>
      <c r="J19" s="116" t="s">
        <v>133</v>
      </c>
      <c r="K19" s="116" t="s">
        <v>134</v>
      </c>
      <c r="L19" s="117"/>
      <c r="M19" s="49"/>
      <c r="N19" s="218">
        <v>3440</v>
      </c>
      <c r="O19" s="219"/>
      <c r="P19" s="133">
        <v>3440</v>
      </c>
      <c r="Q19" s="8">
        <f>X19*$X$7+Y19*$Y$7+Z19*$Z$7+AA19*$AA$7+AB19*$AB$7+AC19*$AC$7+AD19*$AD$7+AE19*$AE$7+AF19*$AF$7+AG19*$AG$7</f>
        <v>1944</v>
      </c>
      <c r="R19" s="2">
        <f>R20+R44+R45</f>
        <v>846</v>
      </c>
      <c r="S19" s="2">
        <f>S20+S44+S45</f>
        <v>504</v>
      </c>
      <c r="T19" s="2">
        <f>T20+T44+T45</f>
        <v>594</v>
      </c>
      <c r="U19" s="7"/>
      <c r="V19" s="7"/>
      <c r="W19" s="89">
        <f t="shared" si="1"/>
        <v>1496</v>
      </c>
      <c r="X19" s="2">
        <f aca="true" t="shared" si="5" ref="X19:AE19">X20+X44+X45</f>
        <v>25</v>
      </c>
      <c r="Y19" s="2">
        <f t="shared" si="5"/>
        <v>23</v>
      </c>
      <c r="Z19" s="2">
        <f t="shared" si="5"/>
        <v>22</v>
      </c>
      <c r="AA19" s="2">
        <f t="shared" si="5"/>
        <v>14</v>
      </c>
      <c r="AB19" s="2">
        <f t="shared" si="5"/>
        <v>9</v>
      </c>
      <c r="AC19" s="2">
        <f t="shared" si="5"/>
        <v>9</v>
      </c>
      <c r="AD19" s="2">
        <f t="shared" si="5"/>
        <v>2</v>
      </c>
      <c r="AE19" s="2">
        <f t="shared" si="5"/>
        <v>4</v>
      </c>
      <c r="AF19" s="2"/>
      <c r="AG19" s="2"/>
    </row>
    <row r="20" spans="1:33" s="71" customFormat="1" ht="9.75" customHeight="1" outlineLevel="1">
      <c r="A20" s="99" t="str">
        <f>"ЕНФ.00"</f>
        <v>ЕНФ.00</v>
      </c>
      <c r="B20" s="255" t="str">
        <f>"Федеральный компонент"</f>
        <v>Федеральный компонент</v>
      </c>
      <c r="C20" s="256"/>
      <c r="D20" s="256"/>
      <c r="E20" s="256"/>
      <c r="F20" s="256"/>
      <c r="G20" s="256"/>
      <c r="H20" s="256"/>
      <c r="I20" s="257"/>
      <c r="J20" s="106"/>
      <c r="K20" s="106"/>
      <c r="L20" s="106"/>
      <c r="M20" s="50"/>
      <c r="N20" s="218">
        <v>3140</v>
      </c>
      <c r="O20" s="219"/>
      <c r="P20" s="130">
        <v>3140</v>
      </c>
      <c r="Q20" s="8">
        <f>Q21+Q28+Q29+Q38+Q42+Q43</f>
        <v>1800</v>
      </c>
      <c r="R20" s="8">
        <f>R21+R28+R29+R38+R42+R43</f>
        <v>774</v>
      </c>
      <c r="S20" s="8">
        <f>S21+S28+S29+S38+S42+S43</f>
        <v>504</v>
      </c>
      <c r="T20" s="8">
        <f>T21+T28+T29+T38+T42+T43</f>
        <v>522</v>
      </c>
      <c r="U20" s="2"/>
      <c r="V20" s="2"/>
      <c r="W20" s="8">
        <f aca="true" t="shared" si="6" ref="W20:AD20">W21+W28+W29+W38+W42+W43</f>
        <v>1340</v>
      </c>
      <c r="X20" s="8">
        <f t="shared" si="6"/>
        <v>21</v>
      </c>
      <c r="Y20" s="8">
        <f t="shared" si="6"/>
        <v>23</v>
      </c>
      <c r="Z20" s="8">
        <f t="shared" si="6"/>
        <v>22</v>
      </c>
      <c r="AA20" s="8">
        <f t="shared" si="6"/>
        <v>14</v>
      </c>
      <c r="AB20" s="8">
        <f t="shared" si="6"/>
        <v>9</v>
      </c>
      <c r="AC20" s="8">
        <f t="shared" si="6"/>
        <v>9</v>
      </c>
      <c r="AD20" s="8">
        <f t="shared" si="6"/>
        <v>2</v>
      </c>
      <c r="AE20" s="8"/>
      <c r="AF20" s="2"/>
      <c r="AG20" s="2"/>
    </row>
    <row r="21" spans="1:33" s="71" customFormat="1" ht="9.75" customHeight="1" outlineLevel="1">
      <c r="A21" s="8" t="str">
        <f>"ЕНФ.01"</f>
        <v>ЕНФ.01</v>
      </c>
      <c r="B21" s="173" t="str">
        <f>"Общая физика"</f>
        <v>Общая физика</v>
      </c>
      <c r="C21" s="174"/>
      <c r="D21" s="174"/>
      <c r="E21" s="174"/>
      <c r="F21" s="174"/>
      <c r="G21" s="174"/>
      <c r="H21" s="174"/>
      <c r="I21" s="175"/>
      <c r="J21" s="108"/>
      <c r="K21" s="105"/>
      <c r="L21" s="105"/>
      <c r="M21" s="49"/>
      <c r="N21" s="220">
        <v>1000</v>
      </c>
      <c r="O21" s="221"/>
      <c r="P21" s="132">
        <v>1000</v>
      </c>
      <c r="Q21" s="8">
        <f>X21*$X$7+Y21*$Y$7+Z21*$Z$7+AA21*$AA$7+AB21*$AB$7+AC21*$AC$7+AD21*$AD$7+AE21*$AE$7+AF21*$AF$7+AG21*$AG$7</f>
        <v>540</v>
      </c>
      <c r="R21" s="8">
        <v>324</v>
      </c>
      <c r="S21" s="8"/>
      <c r="T21" s="8">
        <v>216</v>
      </c>
      <c r="U21" s="8"/>
      <c r="V21" s="8"/>
      <c r="W21" s="89">
        <f t="shared" si="1"/>
        <v>460</v>
      </c>
      <c r="X21" s="8">
        <f aca="true" t="shared" si="7" ref="X21:AC21">SUM(X22:X27)</f>
        <v>5</v>
      </c>
      <c r="Y21" s="8">
        <f t="shared" si="7"/>
        <v>5</v>
      </c>
      <c r="Z21" s="8">
        <f t="shared" si="7"/>
        <v>5</v>
      </c>
      <c r="AA21" s="8">
        <f t="shared" si="7"/>
        <v>5</v>
      </c>
      <c r="AB21" s="8">
        <f t="shared" si="7"/>
        <v>5</v>
      </c>
      <c r="AC21" s="8">
        <f t="shared" si="7"/>
        <v>5</v>
      </c>
      <c r="AD21" s="8"/>
      <c r="AE21" s="8"/>
      <c r="AF21" s="8"/>
      <c r="AG21" s="8"/>
    </row>
    <row r="22" spans="1:33" s="71" customFormat="1" ht="9.75" customHeight="1" outlineLevel="1">
      <c r="A22" s="100" t="str">
        <f>"ЕНФ.01.1"</f>
        <v>ЕНФ.01.1</v>
      </c>
      <c r="B22" s="210" t="str">
        <f>"Механика"</f>
        <v>Механика</v>
      </c>
      <c r="C22" s="186"/>
      <c r="D22" s="186"/>
      <c r="E22" s="186"/>
      <c r="F22" s="186"/>
      <c r="G22" s="186"/>
      <c r="H22" s="186"/>
      <c r="I22" s="211"/>
      <c r="J22" s="118">
        <v>1</v>
      </c>
      <c r="K22" s="107"/>
      <c r="L22" s="107"/>
      <c r="M22" s="49"/>
      <c r="N22" s="210"/>
      <c r="O22" s="211"/>
      <c r="P22" s="134">
        <v>160</v>
      </c>
      <c r="Q22" s="8">
        <f t="shared" si="4"/>
        <v>90</v>
      </c>
      <c r="R22" s="135">
        <v>54</v>
      </c>
      <c r="S22" s="135"/>
      <c r="T22" s="135">
        <v>36</v>
      </c>
      <c r="U22" s="135"/>
      <c r="V22" s="135"/>
      <c r="W22" s="89">
        <f t="shared" si="1"/>
        <v>70</v>
      </c>
      <c r="X22" s="100">
        <v>5</v>
      </c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71" customFormat="1" ht="9.75" customHeight="1" outlineLevel="1">
      <c r="A23" s="100" t="str">
        <f>"ЕНФ.01.2"</f>
        <v>ЕНФ.01.2</v>
      </c>
      <c r="B23" s="210" t="str">
        <f>"Молекулярная физика"</f>
        <v>Молекулярная физика</v>
      </c>
      <c r="C23" s="186"/>
      <c r="D23" s="186"/>
      <c r="E23" s="186"/>
      <c r="F23" s="186"/>
      <c r="G23" s="186"/>
      <c r="H23" s="186"/>
      <c r="I23" s="211"/>
      <c r="J23" s="118">
        <v>2</v>
      </c>
      <c r="K23" s="107"/>
      <c r="L23" s="107"/>
      <c r="M23" s="52"/>
      <c r="N23" s="210"/>
      <c r="O23" s="211"/>
      <c r="P23" s="134">
        <v>180</v>
      </c>
      <c r="Q23" s="8">
        <f t="shared" si="4"/>
        <v>90</v>
      </c>
      <c r="R23" s="135">
        <v>54</v>
      </c>
      <c r="S23" s="135"/>
      <c r="T23" s="135">
        <v>36</v>
      </c>
      <c r="U23" s="135"/>
      <c r="V23" s="135"/>
      <c r="W23" s="89">
        <f t="shared" si="1"/>
        <v>90</v>
      </c>
      <c r="X23" s="100"/>
      <c r="Y23" s="100">
        <v>5</v>
      </c>
      <c r="Z23" s="100"/>
      <c r="AA23" s="100"/>
      <c r="AB23" s="100"/>
      <c r="AC23" s="100"/>
      <c r="AD23" s="100"/>
      <c r="AE23" s="100"/>
      <c r="AF23" s="100"/>
      <c r="AG23" s="100"/>
    </row>
    <row r="24" spans="1:33" s="71" customFormat="1" ht="9.75" customHeight="1" outlineLevel="1">
      <c r="A24" s="100" t="str">
        <f>"ЕНФ.01.3"</f>
        <v>ЕНФ.01.3</v>
      </c>
      <c r="B24" s="210" t="str">
        <f>"Электричество и магнетизм"</f>
        <v>Электричество и магнетизм</v>
      </c>
      <c r="C24" s="186"/>
      <c r="D24" s="186"/>
      <c r="E24" s="186"/>
      <c r="F24" s="186"/>
      <c r="G24" s="186"/>
      <c r="H24" s="186"/>
      <c r="I24" s="211"/>
      <c r="J24" s="118">
        <v>3</v>
      </c>
      <c r="K24" s="107"/>
      <c r="L24" s="107"/>
      <c r="M24" s="16"/>
      <c r="N24" s="210"/>
      <c r="O24" s="211"/>
      <c r="P24" s="134">
        <v>160</v>
      </c>
      <c r="Q24" s="8">
        <f t="shared" si="4"/>
        <v>90</v>
      </c>
      <c r="R24" s="135">
        <v>54</v>
      </c>
      <c r="S24" s="135"/>
      <c r="T24" s="135">
        <v>36</v>
      </c>
      <c r="U24" s="135"/>
      <c r="V24" s="135"/>
      <c r="W24" s="89">
        <f t="shared" si="1"/>
        <v>70</v>
      </c>
      <c r="X24" s="100"/>
      <c r="Y24" s="100"/>
      <c r="Z24" s="100">
        <v>5</v>
      </c>
      <c r="AA24" s="100"/>
      <c r="AB24" s="100"/>
      <c r="AC24" s="100"/>
      <c r="AD24" s="100"/>
      <c r="AE24" s="100"/>
      <c r="AF24" s="100"/>
      <c r="AG24" s="100"/>
    </row>
    <row r="25" spans="1:34" s="71" customFormat="1" ht="9.75" customHeight="1" outlineLevel="1">
      <c r="A25" s="100" t="str">
        <f>"ЕНФ.01.4"</f>
        <v>ЕНФ.01.4</v>
      </c>
      <c r="B25" s="210" t="str">
        <f>"Оптика"</f>
        <v>Оптика</v>
      </c>
      <c r="C25" s="186"/>
      <c r="D25" s="186"/>
      <c r="E25" s="186"/>
      <c r="F25" s="186"/>
      <c r="G25" s="186"/>
      <c r="H25" s="186"/>
      <c r="I25" s="211"/>
      <c r="J25" s="118">
        <v>4</v>
      </c>
      <c r="K25" s="107"/>
      <c r="L25" s="107"/>
      <c r="M25" s="68"/>
      <c r="N25" s="210"/>
      <c r="O25" s="211"/>
      <c r="P25" s="134">
        <v>180</v>
      </c>
      <c r="Q25" s="8">
        <f t="shared" si="4"/>
        <v>90</v>
      </c>
      <c r="R25" s="135">
        <v>54</v>
      </c>
      <c r="S25" s="135"/>
      <c r="T25" s="135">
        <v>36</v>
      </c>
      <c r="U25" s="135"/>
      <c r="V25" s="135"/>
      <c r="W25" s="89">
        <f t="shared" si="1"/>
        <v>90</v>
      </c>
      <c r="X25" s="100"/>
      <c r="Y25" s="100"/>
      <c r="Z25" s="100"/>
      <c r="AA25" s="100">
        <v>5</v>
      </c>
      <c r="AB25" s="100"/>
      <c r="AC25" s="100"/>
      <c r="AD25" s="100"/>
      <c r="AE25" s="100"/>
      <c r="AF25" s="100"/>
      <c r="AG25" s="100"/>
      <c r="AH25" s="72"/>
    </row>
    <row r="26" spans="1:33" s="72" customFormat="1" ht="9.75" customHeight="1">
      <c r="A26" s="100" t="str">
        <f>"ЕНФ.01.5"</f>
        <v>ЕНФ.01.5</v>
      </c>
      <c r="B26" s="210" t="str">
        <f>"Физика атомнов и атомных явлений"</f>
        <v>Физика атомнов и атомных явлений</v>
      </c>
      <c r="C26" s="186"/>
      <c r="D26" s="186"/>
      <c r="E26" s="186"/>
      <c r="F26" s="186"/>
      <c r="G26" s="186"/>
      <c r="H26" s="186"/>
      <c r="I26" s="211"/>
      <c r="J26" s="118">
        <v>5</v>
      </c>
      <c r="K26" s="107"/>
      <c r="L26" s="107"/>
      <c r="M26" s="53"/>
      <c r="N26" s="210"/>
      <c r="O26" s="211"/>
      <c r="P26" s="134">
        <v>160</v>
      </c>
      <c r="Q26" s="8">
        <f t="shared" si="4"/>
        <v>90</v>
      </c>
      <c r="R26" s="135">
        <v>54</v>
      </c>
      <c r="S26" s="135"/>
      <c r="T26" s="135">
        <v>36</v>
      </c>
      <c r="U26" s="135"/>
      <c r="V26" s="135"/>
      <c r="W26" s="89">
        <f t="shared" si="1"/>
        <v>70</v>
      </c>
      <c r="X26" s="100"/>
      <c r="Y26" s="100"/>
      <c r="Z26" s="100"/>
      <c r="AA26" s="100"/>
      <c r="AB26" s="100">
        <v>5</v>
      </c>
      <c r="AC26" s="100"/>
      <c r="AD26" s="100"/>
      <c r="AE26" s="100"/>
      <c r="AF26" s="100"/>
      <c r="AG26" s="100"/>
    </row>
    <row r="27" spans="1:34" s="72" customFormat="1" ht="9.75" customHeight="1" outlineLevel="1">
      <c r="A27" s="100" t="str">
        <f>"ЕНФ.01.6"</f>
        <v>ЕНФ.01.6</v>
      </c>
      <c r="B27" s="210" t="str">
        <f>"Физика атомного ядра и частиц"</f>
        <v>Физика атомного ядра и частиц</v>
      </c>
      <c r="C27" s="186"/>
      <c r="D27" s="186"/>
      <c r="E27" s="186"/>
      <c r="F27" s="186"/>
      <c r="G27" s="186"/>
      <c r="H27" s="186"/>
      <c r="I27" s="211"/>
      <c r="J27" s="118">
        <v>6</v>
      </c>
      <c r="K27" s="107"/>
      <c r="L27" s="107"/>
      <c r="M27" s="52"/>
      <c r="N27" s="210"/>
      <c r="O27" s="211"/>
      <c r="P27" s="134">
        <v>160</v>
      </c>
      <c r="Q27" s="8">
        <f t="shared" si="4"/>
        <v>90</v>
      </c>
      <c r="R27" s="135">
        <v>54</v>
      </c>
      <c r="S27" s="135"/>
      <c r="T27" s="135">
        <v>36</v>
      </c>
      <c r="U27" s="135"/>
      <c r="V27" s="135"/>
      <c r="W27" s="89">
        <f t="shared" si="1"/>
        <v>70</v>
      </c>
      <c r="X27" s="100"/>
      <c r="Y27" s="100"/>
      <c r="Z27" s="100"/>
      <c r="AA27" s="100"/>
      <c r="AB27" s="100"/>
      <c r="AC27" s="100">
        <v>5</v>
      </c>
      <c r="AD27" s="100"/>
      <c r="AE27" s="100"/>
      <c r="AF27" s="100"/>
      <c r="AG27" s="100"/>
      <c r="AH27" s="71"/>
    </row>
    <row r="28" spans="1:33" s="71" customFormat="1" ht="9.75" customHeight="1" outlineLevel="1">
      <c r="A28" s="8" t="str">
        <f>"ЕНФ.02"</f>
        <v>ЕНФ.02</v>
      </c>
      <c r="B28" s="210" t="s">
        <v>30</v>
      </c>
      <c r="C28" s="186"/>
      <c r="D28" s="186"/>
      <c r="E28" s="186"/>
      <c r="F28" s="186"/>
      <c r="G28" s="186"/>
      <c r="H28" s="186"/>
      <c r="I28" s="211"/>
      <c r="J28" s="119"/>
      <c r="K28" s="116" t="str">
        <f>"123 456"</f>
        <v>123 456</v>
      </c>
      <c r="L28" s="108"/>
      <c r="M28" s="54"/>
      <c r="N28" s="214">
        <v>650</v>
      </c>
      <c r="O28" s="215"/>
      <c r="P28" s="134">
        <v>650</v>
      </c>
      <c r="Q28" s="8">
        <f t="shared" si="4"/>
        <v>432</v>
      </c>
      <c r="R28" s="10"/>
      <c r="S28" s="10">
        <v>432</v>
      </c>
      <c r="T28" s="10"/>
      <c r="U28" s="10"/>
      <c r="V28" s="10"/>
      <c r="W28" s="89">
        <f t="shared" si="1"/>
        <v>218</v>
      </c>
      <c r="X28" s="8">
        <v>4</v>
      </c>
      <c r="Y28" s="8">
        <v>4</v>
      </c>
      <c r="Z28" s="8">
        <v>4</v>
      </c>
      <c r="AA28" s="8">
        <v>4</v>
      </c>
      <c r="AB28" s="8">
        <v>4</v>
      </c>
      <c r="AC28" s="8">
        <v>4</v>
      </c>
      <c r="AD28" s="8"/>
      <c r="AE28" s="8"/>
      <c r="AF28" s="8"/>
      <c r="AG28" s="8"/>
    </row>
    <row r="29" spans="1:33" s="71" customFormat="1" ht="9.75" customHeight="1" outlineLevel="1">
      <c r="A29" s="8" t="str">
        <f>"ЕНФ.03"</f>
        <v>ЕНФ.03</v>
      </c>
      <c r="B29" s="187" t="str">
        <f>"Математика:"</f>
        <v>Математика:</v>
      </c>
      <c r="C29" s="188"/>
      <c r="D29" s="188"/>
      <c r="E29" s="188"/>
      <c r="F29" s="188"/>
      <c r="G29" s="188"/>
      <c r="H29" s="188"/>
      <c r="I29" s="189"/>
      <c r="J29" s="116"/>
      <c r="K29" s="8"/>
      <c r="L29" s="96"/>
      <c r="M29" s="54"/>
      <c r="N29" s="214">
        <v>1150</v>
      </c>
      <c r="O29" s="222"/>
      <c r="P29" s="8">
        <v>1150</v>
      </c>
      <c r="Q29" s="8">
        <f t="shared" si="4"/>
        <v>630</v>
      </c>
      <c r="R29" s="8">
        <f>SUM(R30:R37)</f>
        <v>360</v>
      </c>
      <c r="S29" s="8"/>
      <c r="T29" s="8">
        <f>SUM(T30:T37)</f>
        <v>270</v>
      </c>
      <c r="U29" s="8"/>
      <c r="V29" s="8"/>
      <c r="W29" s="89">
        <f t="shared" si="1"/>
        <v>520</v>
      </c>
      <c r="X29" s="8">
        <f>SUM(X30:X37)</f>
        <v>9</v>
      </c>
      <c r="Y29" s="8">
        <f>SUM(Y30:Y37)</f>
        <v>8</v>
      </c>
      <c r="Z29" s="8">
        <f>SUM(Z30:Z37)</f>
        <v>13</v>
      </c>
      <c r="AA29" s="8">
        <f>SUM(AA30:AA37)</f>
        <v>5</v>
      </c>
      <c r="AB29" s="8"/>
      <c r="AC29" s="8"/>
      <c r="AD29" s="8"/>
      <c r="AE29" s="8"/>
      <c r="AF29" s="8"/>
      <c r="AG29" s="8"/>
    </row>
    <row r="30" spans="1:33" s="71" customFormat="1" ht="9.75" customHeight="1" outlineLevel="1">
      <c r="A30" s="100" t="str">
        <f>"ЕНФ.03.1"</f>
        <v>ЕНФ.03.1</v>
      </c>
      <c r="B30" s="190" t="str">
        <f>"Математический анализ"</f>
        <v>Математический анализ</v>
      </c>
      <c r="C30" s="191"/>
      <c r="D30" s="191"/>
      <c r="E30" s="191"/>
      <c r="F30" s="191"/>
      <c r="G30" s="191"/>
      <c r="H30" s="191"/>
      <c r="I30" s="192"/>
      <c r="J30" s="120">
        <v>123</v>
      </c>
      <c r="K30" s="120"/>
      <c r="L30" s="97"/>
      <c r="M30" s="54"/>
      <c r="N30" s="190"/>
      <c r="O30" s="192"/>
      <c r="P30" s="136">
        <v>480</v>
      </c>
      <c r="Q30" s="8">
        <f t="shared" si="4"/>
        <v>288</v>
      </c>
      <c r="R30" s="135">
        <v>144</v>
      </c>
      <c r="S30" s="135"/>
      <c r="T30" s="135">
        <v>144</v>
      </c>
      <c r="U30" s="135"/>
      <c r="V30" s="135"/>
      <c r="W30" s="89">
        <f t="shared" si="1"/>
        <v>192</v>
      </c>
      <c r="X30" s="100">
        <v>6</v>
      </c>
      <c r="Y30" s="100">
        <v>6</v>
      </c>
      <c r="Z30" s="100">
        <v>4</v>
      </c>
      <c r="AA30" s="100"/>
      <c r="AB30" s="100"/>
      <c r="AC30" s="100"/>
      <c r="AD30" s="100"/>
      <c r="AE30" s="100"/>
      <c r="AF30" s="100"/>
      <c r="AG30" s="100"/>
    </row>
    <row r="31" spans="1:33" s="71" customFormat="1" ht="9.75" customHeight="1" outlineLevel="1">
      <c r="A31" s="100" t="str">
        <f>"ЕНФ.03.2"</f>
        <v>ЕНФ.03.2</v>
      </c>
      <c r="B31" s="210" t="str">
        <f>"Аналитическая геометрия"</f>
        <v>Аналитическая геометрия</v>
      </c>
      <c r="C31" s="186"/>
      <c r="D31" s="186"/>
      <c r="E31" s="186"/>
      <c r="F31" s="186"/>
      <c r="G31" s="186"/>
      <c r="H31" s="186"/>
      <c r="I31" s="211"/>
      <c r="J31" s="100">
        <v>1</v>
      </c>
      <c r="K31" s="100"/>
      <c r="L31" s="95"/>
      <c r="M31" s="54"/>
      <c r="N31" s="210"/>
      <c r="O31" s="211"/>
      <c r="P31" s="134">
        <v>100</v>
      </c>
      <c r="Q31" s="8">
        <f t="shared" si="4"/>
        <v>54</v>
      </c>
      <c r="R31" s="135">
        <v>36</v>
      </c>
      <c r="S31" s="135"/>
      <c r="T31" s="135">
        <v>18</v>
      </c>
      <c r="U31" s="135"/>
      <c r="V31" s="135"/>
      <c r="W31" s="89">
        <f t="shared" si="1"/>
        <v>46</v>
      </c>
      <c r="X31" s="100">
        <v>3</v>
      </c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71" customFormat="1" ht="9.75" customHeight="1" outlineLevel="1">
      <c r="A32" s="100" t="str">
        <f>"ЕНФ.03.3"</f>
        <v>ЕНФ.03.3</v>
      </c>
      <c r="B32" s="210" t="s">
        <v>31</v>
      </c>
      <c r="C32" s="186"/>
      <c r="D32" s="186"/>
      <c r="E32" s="186"/>
      <c r="F32" s="186"/>
      <c r="G32" s="186"/>
      <c r="H32" s="186"/>
      <c r="I32" s="211"/>
      <c r="J32" s="100"/>
      <c r="K32" s="100">
        <v>2</v>
      </c>
      <c r="L32" s="95"/>
      <c r="M32" s="54"/>
      <c r="N32" s="210"/>
      <c r="O32" s="211"/>
      <c r="P32" s="134">
        <v>60</v>
      </c>
      <c r="Q32" s="8">
        <f t="shared" si="4"/>
        <v>36</v>
      </c>
      <c r="R32" s="135">
        <v>18</v>
      </c>
      <c r="S32" s="135"/>
      <c r="T32" s="135">
        <v>18</v>
      </c>
      <c r="U32" s="135"/>
      <c r="V32" s="135"/>
      <c r="W32" s="89">
        <f t="shared" si="1"/>
        <v>24</v>
      </c>
      <c r="X32" s="100"/>
      <c r="Y32" s="100">
        <v>2</v>
      </c>
      <c r="Z32" s="100"/>
      <c r="AA32" s="100"/>
      <c r="AB32" s="100"/>
      <c r="AC32" s="100"/>
      <c r="AD32" s="100"/>
      <c r="AE32" s="100"/>
      <c r="AF32" s="100"/>
      <c r="AG32" s="100"/>
    </row>
    <row r="33" spans="1:33" s="71" customFormat="1" ht="9.75" customHeight="1" outlineLevel="1">
      <c r="A33" s="100" t="str">
        <f>"ЕНФ.03.4"</f>
        <v>ЕНФ.03.4</v>
      </c>
      <c r="B33" s="210" t="str">
        <f>"Векторный и тензорный анализ"</f>
        <v>Векторный и тензорный анализ</v>
      </c>
      <c r="C33" s="186"/>
      <c r="D33" s="186"/>
      <c r="E33" s="186"/>
      <c r="F33" s="186"/>
      <c r="G33" s="186"/>
      <c r="H33" s="186"/>
      <c r="I33" s="211"/>
      <c r="J33" s="100"/>
      <c r="K33" s="100">
        <v>3</v>
      </c>
      <c r="L33" s="95"/>
      <c r="M33" s="54"/>
      <c r="N33" s="210"/>
      <c r="O33" s="211"/>
      <c r="P33" s="134">
        <v>70</v>
      </c>
      <c r="Q33" s="8">
        <f t="shared" si="4"/>
        <v>54</v>
      </c>
      <c r="R33" s="135">
        <v>36</v>
      </c>
      <c r="S33" s="135"/>
      <c r="T33" s="135">
        <v>18</v>
      </c>
      <c r="U33" s="135"/>
      <c r="V33" s="135"/>
      <c r="W33" s="89">
        <f t="shared" si="1"/>
        <v>16</v>
      </c>
      <c r="X33" s="100"/>
      <c r="Y33" s="100"/>
      <c r="Z33" s="100">
        <v>3</v>
      </c>
      <c r="AA33" s="100"/>
      <c r="AB33" s="100"/>
      <c r="AC33" s="100"/>
      <c r="AD33" s="100"/>
      <c r="AE33" s="100"/>
      <c r="AF33" s="100"/>
      <c r="AG33" s="100"/>
    </row>
    <row r="34" spans="1:33" s="71" customFormat="1" ht="9.75" customHeight="1" outlineLevel="1">
      <c r="A34" s="100" t="str">
        <f>"ЕНФ.03.5"</f>
        <v>ЕНФ.03.5</v>
      </c>
      <c r="B34" s="210" t="str">
        <f>"Теория функции комплексной переменной"</f>
        <v>Теория функции комплексной переменной</v>
      </c>
      <c r="C34" s="186"/>
      <c r="D34" s="186"/>
      <c r="E34" s="186"/>
      <c r="F34" s="186"/>
      <c r="G34" s="186"/>
      <c r="H34" s="186"/>
      <c r="I34" s="211"/>
      <c r="J34" s="100">
        <v>3</v>
      </c>
      <c r="K34" s="95"/>
      <c r="L34" s="95"/>
      <c r="M34" s="54"/>
      <c r="N34" s="210"/>
      <c r="O34" s="211"/>
      <c r="P34" s="134">
        <v>140</v>
      </c>
      <c r="Q34" s="8">
        <f t="shared" si="4"/>
        <v>54</v>
      </c>
      <c r="R34" s="135">
        <v>36</v>
      </c>
      <c r="S34" s="135"/>
      <c r="T34" s="135">
        <v>18</v>
      </c>
      <c r="U34" s="135"/>
      <c r="V34" s="135"/>
      <c r="W34" s="89">
        <f t="shared" si="1"/>
        <v>86</v>
      </c>
      <c r="X34" s="100"/>
      <c r="Y34" s="100"/>
      <c r="Z34" s="100">
        <v>3</v>
      </c>
      <c r="AA34" s="100"/>
      <c r="AB34" s="100"/>
      <c r="AC34" s="100"/>
      <c r="AD34" s="100"/>
      <c r="AE34" s="100"/>
      <c r="AF34" s="100"/>
      <c r="AG34" s="100"/>
    </row>
    <row r="35" spans="1:33" s="71" customFormat="1" ht="9.75" customHeight="1" outlineLevel="1">
      <c r="A35" s="100" t="str">
        <f>"ЕНФ.03.6"</f>
        <v>ЕНФ.03.6</v>
      </c>
      <c r="B35" s="187" t="str">
        <f>"Дифференциальные уравнения"</f>
        <v>Дифференциальные уравнения</v>
      </c>
      <c r="C35" s="188"/>
      <c r="D35" s="188"/>
      <c r="E35" s="188"/>
      <c r="F35" s="188"/>
      <c r="G35" s="188"/>
      <c r="H35" s="188"/>
      <c r="I35" s="189"/>
      <c r="J35" s="118">
        <v>3</v>
      </c>
      <c r="K35" s="109"/>
      <c r="L35" s="109"/>
      <c r="M35" s="55"/>
      <c r="N35" s="187"/>
      <c r="O35" s="189"/>
      <c r="P35" s="134">
        <v>130</v>
      </c>
      <c r="Q35" s="8">
        <f t="shared" si="4"/>
        <v>54</v>
      </c>
      <c r="R35" s="135">
        <v>36</v>
      </c>
      <c r="S35" s="135"/>
      <c r="T35" s="135">
        <v>18</v>
      </c>
      <c r="U35" s="135"/>
      <c r="V35" s="135"/>
      <c r="W35" s="89">
        <f t="shared" si="1"/>
        <v>76</v>
      </c>
      <c r="X35" s="100"/>
      <c r="Y35" s="100"/>
      <c r="Z35" s="100">
        <v>3</v>
      </c>
      <c r="AA35" s="100"/>
      <c r="AB35" s="100"/>
      <c r="AC35" s="100"/>
      <c r="AD35" s="100"/>
      <c r="AE35" s="100"/>
      <c r="AF35" s="100"/>
      <c r="AG35" s="100"/>
    </row>
    <row r="36" spans="1:33" s="71" customFormat="1" ht="9.75" customHeight="1" outlineLevel="1">
      <c r="A36" s="100" t="str">
        <f>"ЕНФ.03.7"</f>
        <v>ЕНФ.03.7</v>
      </c>
      <c r="B36" s="210" t="str">
        <f>"Интегральные уравнения, вариационное исчисление"</f>
        <v>Интегральные уравнения, вариационное исчисление</v>
      </c>
      <c r="C36" s="186"/>
      <c r="D36" s="186"/>
      <c r="E36" s="186"/>
      <c r="F36" s="186"/>
      <c r="G36" s="186"/>
      <c r="H36" s="186"/>
      <c r="I36" s="211"/>
      <c r="J36" s="107"/>
      <c r="K36" s="118">
        <v>4</v>
      </c>
      <c r="L36" s="107"/>
      <c r="M36" s="49"/>
      <c r="N36" s="210"/>
      <c r="O36" s="211"/>
      <c r="P36" s="134">
        <v>70</v>
      </c>
      <c r="Q36" s="8">
        <f t="shared" si="4"/>
        <v>36</v>
      </c>
      <c r="R36" s="135">
        <v>18</v>
      </c>
      <c r="S36" s="135"/>
      <c r="T36" s="135">
        <v>18</v>
      </c>
      <c r="U36" s="135"/>
      <c r="V36" s="135"/>
      <c r="W36" s="89">
        <f t="shared" si="1"/>
        <v>34</v>
      </c>
      <c r="X36" s="100"/>
      <c r="Y36" s="100"/>
      <c r="Z36" s="100"/>
      <c r="AA36" s="100">
        <v>2</v>
      </c>
      <c r="AB36" s="100"/>
      <c r="AC36" s="100"/>
      <c r="AD36" s="100"/>
      <c r="AE36" s="100"/>
      <c r="AF36" s="100"/>
      <c r="AG36" s="100"/>
    </row>
    <row r="37" spans="1:33" s="71" customFormat="1" ht="9.75" customHeight="1" outlineLevel="1">
      <c r="A37" s="100" t="str">
        <f>"ЕНФ.03.8"</f>
        <v>ЕНФ.03.8</v>
      </c>
      <c r="B37" s="210" t="str">
        <f>"Теория вероятностей и математическая статистика"</f>
        <v>Теория вероятностей и математическая статистика</v>
      </c>
      <c r="C37" s="186"/>
      <c r="D37" s="186"/>
      <c r="E37" s="186"/>
      <c r="F37" s="186"/>
      <c r="G37" s="186"/>
      <c r="H37" s="186"/>
      <c r="I37" s="211"/>
      <c r="J37" s="118">
        <v>4</v>
      </c>
      <c r="K37" s="118"/>
      <c r="L37" s="107"/>
      <c r="M37" s="54"/>
      <c r="N37" s="210"/>
      <c r="O37" s="211"/>
      <c r="P37" s="134">
        <v>100</v>
      </c>
      <c r="Q37" s="8">
        <f t="shared" si="4"/>
        <v>54</v>
      </c>
      <c r="R37" s="135">
        <v>36</v>
      </c>
      <c r="S37" s="135"/>
      <c r="T37" s="135">
        <v>18</v>
      </c>
      <c r="U37" s="135"/>
      <c r="V37" s="135"/>
      <c r="W37" s="89">
        <f t="shared" si="1"/>
        <v>46</v>
      </c>
      <c r="X37" s="100"/>
      <c r="Y37" s="100"/>
      <c r="Z37" s="100"/>
      <c r="AA37" s="100">
        <v>3</v>
      </c>
      <c r="AB37" s="100"/>
      <c r="AC37" s="100"/>
      <c r="AD37" s="100"/>
      <c r="AE37" s="100"/>
      <c r="AF37" s="100"/>
      <c r="AG37" s="100"/>
    </row>
    <row r="38" spans="1:33" s="71" customFormat="1" ht="9.75" customHeight="1" outlineLevel="1">
      <c r="A38" s="8" t="str">
        <f>"ЕНФ.04"</f>
        <v>ЕНФ.04</v>
      </c>
      <c r="B38" s="190" t="str">
        <f>"Информатика"</f>
        <v>Информатика</v>
      </c>
      <c r="C38" s="191"/>
      <c r="D38" s="191"/>
      <c r="E38" s="191"/>
      <c r="F38" s="191"/>
      <c r="G38" s="191"/>
      <c r="H38" s="191"/>
      <c r="I38" s="192"/>
      <c r="J38" s="11"/>
      <c r="K38" s="11"/>
      <c r="L38" s="104"/>
      <c r="M38" s="54"/>
      <c r="N38" s="216">
        <v>200</v>
      </c>
      <c r="O38" s="217"/>
      <c r="P38" s="132">
        <v>200</v>
      </c>
      <c r="Q38" s="8">
        <f t="shared" si="4"/>
        <v>126</v>
      </c>
      <c r="R38" s="8">
        <f>SUM(R39:R41)</f>
        <v>54</v>
      </c>
      <c r="S38" s="8">
        <f>SUM(S39:S41)</f>
        <v>72</v>
      </c>
      <c r="T38" s="8"/>
      <c r="U38" s="8"/>
      <c r="V38" s="8"/>
      <c r="W38" s="89">
        <f t="shared" si="1"/>
        <v>74</v>
      </c>
      <c r="X38" s="8">
        <f aca="true" t="shared" si="8" ref="X38:AD38">SUM(X39:X41)</f>
        <v>3</v>
      </c>
      <c r="Y38" s="8">
        <f t="shared" si="8"/>
        <v>2</v>
      </c>
      <c r="Z38" s="8"/>
      <c r="AA38" s="8"/>
      <c r="AB38" s="8"/>
      <c r="AC38" s="8"/>
      <c r="AD38" s="8">
        <f t="shared" si="8"/>
        <v>2</v>
      </c>
      <c r="AE38" s="8"/>
      <c r="AF38" s="8"/>
      <c r="AG38" s="8"/>
    </row>
    <row r="39" spans="1:33" s="71" customFormat="1" ht="9.75" customHeight="1" outlineLevel="1">
      <c r="A39" s="100" t="str">
        <f>"ЕНФ.04.1"</f>
        <v>ЕНФ.04.1</v>
      </c>
      <c r="B39" s="210" t="str">
        <f>"Программирование"</f>
        <v>Программирование</v>
      </c>
      <c r="C39" s="186"/>
      <c r="D39" s="186"/>
      <c r="E39" s="186"/>
      <c r="F39" s="186"/>
      <c r="G39" s="186"/>
      <c r="H39" s="186"/>
      <c r="I39" s="211"/>
      <c r="J39" s="118"/>
      <c r="K39" s="118">
        <v>1</v>
      </c>
      <c r="L39" s="107"/>
      <c r="M39" s="54"/>
      <c r="N39" s="210"/>
      <c r="O39" s="211"/>
      <c r="P39" s="134">
        <v>60</v>
      </c>
      <c r="Q39" s="8">
        <f t="shared" si="4"/>
        <v>54</v>
      </c>
      <c r="R39" s="135">
        <v>18</v>
      </c>
      <c r="S39" s="135">
        <v>36</v>
      </c>
      <c r="T39" s="135"/>
      <c r="U39" s="135"/>
      <c r="V39" s="135"/>
      <c r="W39" s="89">
        <f t="shared" si="1"/>
        <v>6</v>
      </c>
      <c r="X39" s="100">
        <v>3</v>
      </c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71" customFormat="1" ht="9.75" customHeight="1" outlineLevel="1">
      <c r="A40" s="100" t="str">
        <f>"ЕНФ.04.2"</f>
        <v>ЕНФ.04.2</v>
      </c>
      <c r="B40" s="210" t="str">
        <f>"Вычислительная физика. (Практикум на ЭВМ)"</f>
        <v>Вычислительная физика. (Практикум на ЭВМ)</v>
      </c>
      <c r="C40" s="186"/>
      <c r="D40" s="186"/>
      <c r="E40" s="186"/>
      <c r="F40" s="186"/>
      <c r="G40" s="186"/>
      <c r="H40" s="186"/>
      <c r="I40" s="211"/>
      <c r="J40" s="118"/>
      <c r="K40" s="118">
        <v>7</v>
      </c>
      <c r="L40" s="107"/>
      <c r="M40" s="54"/>
      <c r="N40" s="210"/>
      <c r="O40" s="211"/>
      <c r="P40" s="134">
        <v>80</v>
      </c>
      <c r="Q40" s="8">
        <f t="shared" si="4"/>
        <v>36</v>
      </c>
      <c r="R40" s="135">
        <v>18</v>
      </c>
      <c r="S40" s="135">
        <v>18</v>
      </c>
      <c r="T40" s="135"/>
      <c r="U40" s="135"/>
      <c r="V40" s="135"/>
      <c r="W40" s="89">
        <f t="shared" si="1"/>
        <v>44</v>
      </c>
      <c r="X40" s="100"/>
      <c r="Y40" s="100"/>
      <c r="Z40" s="100"/>
      <c r="AA40" s="100"/>
      <c r="AB40" s="100"/>
      <c r="AC40" s="100"/>
      <c r="AD40" s="100">
        <v>2</v>
      </c>
      <c r="AE40" s="100"/>
      <c r="AF40" s="100"/>
      <c r="AG40" s="100"/>
    </row>
    <row r="41" spans="1:33" s="71" customFormat="1" ht="9.75" customHeight="1" outlineLevel="1">
      <c r="A41" s="100" t="str">
        <f>"ЕНФ.04.3"</f>
        <v>ЕНФ.04.3</v>
      </c>
      <c r="B41" s="210" t="str">
        <f>"Численные методы и математическое моделирование"</f>
        <v>Численные методы и математическое моделирование</v>
      </c>
      <c r="C41" s="186"/>
      <c r="D41" s="186"/>
      <c r="E41" s="186"/>
      <c r="F41" s="186"/>
      <c r="G41" s="186"/>
      <c r="H41" s="186"/>
      <c r="I41" s="211"/>
      <c r="J41" s="118"/>
      <c r="K41" s="118">
        <v>2</v>
      </c>
      <c r="L41" s="107"/>
      <c r="M41" s="55"/>
      <c r="N41" s="210"/>
      <c r="O41" s="211"/>
      <c r="P41" s="134">
        <v>60</v>
      </c>
      <c r="Q41" s="8">
        <f t="shared" si="4"/>
        <v>36</v>
      </c>
      <c r="R41" s="135">
        <v>18</v>
      </c>
      <c r="S41" s="135">
        <v>18</v>
      </c>
      <c r="T41" s="135"/>
      <c r="U41" s="135"/>
      <c r="V41" s="135"/>
      <c r="W41" s="89">
        <f t="shared" si="1"/>
        <v>24</v>
      </c>
      <c r="X41" s="100"/>
      <c r="Y41" s="100">
        <v>2</v>
      </c>
      <c r="Z41" s="100"/>
      <c r="AA41" s="100"/>
      <c r="AB41" s="100"/>
      <c r="AC41" s="100"/>
      <c r="AD41" s="100"/>
      <c r="AE41" s="100"/>
      <c r="AF41" s="100"/>
      <c r="AG41" s="100"/>
    </row>
    <row r="42" spans="1:33" s="71" customFormat="1" ht="9.75" customHeight="1" outlineLevel="1">
      <c r="A42" s="8" t="str">
        <f>"ЕНФ.05"</f>
        <v>ЕНФ.05</v>
      </c>
      <c r="B42" s="210" t="str">
        <f>"Химия"</f>
        <v>Химия</v>
      </c>
      <c r="C42" s="186"/>
      <c r="D42" s="186"/>
      <c r="E42" s="186"/>
      <c r="F42" s="186"/>
      <c r="G42" s="186"/>
      <c r="H42" s="186"/>
      <c r="I42" s="211"/>
      <c r="J42" s="108"/>
      <c r="K42" s="11">
        <v>2</v>
      </c>
      <c r="L42" s="108"/>
      <c r="M42" s="54"/>
      <c r="N42" s="214">
        <v>70</v>
      </c>
      <c r="O42" s="215"/>
      <c r="P42" s="132">
        <v>70</v>
      </c>
      <c r="Q42" s="8">
        <f t="shared" si="4"/>
        <v>36</v>
      </c>
      <c r="R42" s="10">
        <v>18</v>
      </c>
      <c r="S42" s="10"/>
      <c r="T42" s="10">
        <v>18</v>
      </c>
      <c r="U42" s="10"/>
      <c r="V42" s="10"/>
      <c r="W42" s="89">
        <f t="shared" si="1"/>
        <v>34</v>
      </c>
      <c r="X42" s="8"/>
      <c r="Y42" s="8">
        <v>2</v>
      </c>
      <c r="Z42" s="8"/>
      <c r="AA42" s="8"/>
      <c r="AB42" s="8"/>
      <c r="AC42" s="8"/>
      <c r="AD42" s="8"/>
      <c r="AE42" s="8"/>
      <c r="AF42" s="8"/>
      <c r="AG42" s="8"/>
    </row>
    <row r="43" spans="1:33" s="71" customFormat="1" ht="9.75" customHeight="1" outlineLevel="1">
      <c r="A43" s="8" t="str">
        <f>"ЕНФ.06"</f>
        <v>ЕНФ.06</v>
      </c>
      <c r="B43" s="210" t="str">
        <f>"Экология"</f>
        <v>Экология</v>
      </c>
      <c r="C43" s="186"/>
      <c r="D43" s="186"/>
      <c r="E43" s="186"/>
      <c r="F43" s="186"/>
      <c r="G43" s="186"/>
      <c r="H43" s="186"/>
      <c r="I43" s="211"/>
      <c r="J43" s="108"/>
      <c r="K43" s="11">
        <v>2</v>
      </c>
      <c r="L43" s="108"/>
      <c r="M43" s="54"/>
      <c r="N43" s="214">
        <v>70</v>
      </c>
      <c r="O43" s="215"/>
      <c r="P43" s="132">
        <v>70</v>
      </c>
      <c r="Q43" s="8">
        <f t="shared" si="4"/>
        <v>36</v>
      </c>
      <c r="R43" s="10">
        <v>18</v>
      </c>
      <c r="S43" s="10"/>
      <c r="T43" s="10">
        <v>18</v>
      </c>
      <c r="U43" s="10"/>
      <c r="V43" s="10"/>
      <c r="W43" s="89">
        <f t="shared" si="1"/>
        <v>34</v>
      </c>
      <c r="X43" s="8"/>
      <c r="Y43" s="8">
        <v>2</v>
      </c>
      <c r="Z43" s="8"/>
      <c r="AA43" s="8"/>
      <c r="AB43" s="8"/>
      <c r="AC43" s="8"/>
      <c r="AD43" s="8"/>
      <c r="AE43" s="8"/>
      <c r="AF43" s="8"/>
      <c r="AG43" s="8"/>
    </row>
    <row r="44" spans="1:33" s="71" customFormat="1" ht="9.75" customHeight="1" outlineLevel="1">
      <c r="A44" s="8" t="str">
        <f>"ЕНР.00"</f>
        <v>ЕНР.00</v>
      </c>
      <c r="B44" s="173" t="str">
        <f>"Национально-региональный (вузовский) компонент"</f>
        <v>Национально-региональный (вузовский) компонент</v>
      </c>
      <c r="C44" s="174"/>
      <c r="D44" s="174"/>
      <c r="E44" s="174"/>
      <c r="F44" s="174"/>
      <c r="G44" s="174"/>
      <c r="H44" s="174"/>
      <c r="I44" s="175"/>
      <c r="J44" s="105"/>
      <c r="K44" s="11">
        <v>8</v>
      </c>
      <c r="L44" s="105"/>
      <c r="M44" s="49"/>
      <c r="N44" s="214">
        <v>150</v>
      </c>
      <c r="O44" s="215"/>
      <c r="P44" s="132">
        <v>150</v>
      </c>
      <c r="Q44" s="8">
        <f t="shared" si="4"/>
        <v>72</v>
      </c>
      <c r="R44" s="10">
        <v>36</v>
      </c>
      <c r="S44" s="10"/>
      <c r="T44" s="10">
        <v>36</v>
      </c>
      <c r="U44" s="10"/>
      <c r="V44" s="10"/>
      <c r="W44" s="89">
        <f t="shared" si="1"/>
        <v>78</v>
      </c>
      <c r="X44" s="8"/>
      <c r="Y44" s="8"/>
      <c r="Z44" s="8"/>
      <c r="AA44" s="8"/>
      <c r="AB44" s="8"/>
      <c r="AC44" s="8"/>
      <c r="AD44" s="8"/>
      <c r="AE44" s="8">
        <v>4</v>
      </c>
      <c r="AF44" s="8"/>
      <c r="AG44" s="8"/>
    </row>
    <row r="45" spans="1:33" s="71" customFormat="1" ht="9.75" customHeight="1" outlineLevel="1">
      <c r="A45" s="8" t="str">
        <f>"ЕНВ.00"</f>
        <v>ЕНВ.00</v>
      </c>
      <c r="B45" s="236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45" s="237"/>
      <c r="D45" s="237"/>
      <c r="E45" s="237"/>
      <c r="F45" s="237"/>
      <c r="G45" s="237"/>
      <c r="H45" s="237"/>
      <c r="I45" s="238"/>
      <c r="J45" s="8"/>
      <c r="K45" s="8">
        <v>1</v>
      </c>
      <c r="L45" s="8"/>
      <c r="M45" s="54"/>
      <c r="N45" s="214">
        <v>150</v>
      </c>
      <c r="O45" s="215"/>
      <c r="P45" s="137">
        <v>150</v>
      </c>
      <c r="Q45" s="8">
        <f t="shared" si="4"/>
        <v>72</v>
      </c>
      <c r="R45" s="10">
        <v>36</v>
      </c>
      <c r="S45" s="10"/>
      <c r="T45" s="10">
        <v>36</v>
      </c>
      <c r="U45" s="10"/>
      <c r="V45" s="10"/>
      <c r="W45" s="89">
        <f t="shared" si="1"/>
        <v>78</v>
      </c>
      <c r="X45" s="8">
        <v>4</v>
      </c>
      <c r="Y45" s="8"/>
      <c r="Z45" s="8"/>
      <c r="AA45" s="8"/>
      <c r="AB45" s="8"/>
      <c r="AC45" s="8"/>
      <c r="AD45" s="8"/>
      <c r="AE45" s="8"/>
      <c r="AF45" s="8"/>
      <c r="AG45" s="8"/>
    </row>
    <row r="46" spans="1:33" s="71" customFormat="1" ht="27.75" customHeight="1" outlineLevel="1">
      <c r="A46" s="101" t="str">
        <f>"ОПД.00"</f>
        <v>ОПД.00</v>
      </c>
      <c r="B46" s="176" t="str">
        <f>"Общепрофессиональные дисциплины"</f>
        <v>Общепрофессиональные дисциплины</v>
      </c>
      <c r="C46" s="168"/>
      <c r="D46" s="168"/>
      <c r="E46" s="168"/>
      <c r="F46" s="168"/>
      <c r="G46" s="168"/>
      <c r="H46" s="168"/>
      <c r="I46" s="228"/>
      <c r="J46" s="2">
        <v>556778</v>
      </c>
      <c r="K46" s="17">
        <v>445688</v>
      </c>
      <c r="L46" s="17"/>
      <c r="M46" s="54"/>
      <c r="N46" s="218">
        <v>1310</v>
      </c>
      <c r="O46" s="219"/>
      <c r="P46" s="133">
        <v>1310</v>
      </c>
      <c r="Q46" s="8">
        <f aca="true" t="shared" si="9" ref="Q46:Q73">X46*$X$7+Y46*$Y$7+Z46*$Z$7+AA46*$AA$7+AB46*$AB$7+AC46*$AC$7+AD46*$AD$7++AE46*$AE$7++AF46*$AF$7++AG46*$AG$7</f>
        <v>738</v>
      </c>
      <c r="R46" s="7">
        <v>396</v>
      </c>
      <c r="S46" s="7"/>
      <c r="T46" s="7">
        <v>342</v>
      </c>
      <c r="U46" s="7"/>
      <c r="V46" s="7"/>
      <c r="W46" s="89">
        <f t="shared" si="1"/>
        <v>572</v>
      </c>
      <c r="X46" s="8"/>
      <c r="Y46" s="8"/>
      <c r="Z46" s="8"/>
      <c r="AA46" s="8">
        <f>AA47+AA59+AA60</f>
        <v>6</v>
      </c>
      <c r="AB46" s="8">
        <f>AB47+AB59+AB60</f>
        <v>12</v>
      </c>
      <c r="AC46" s="8">
        <f>AC47+AC59+AC60</f>
        <v>7</v>
      </c>
      <c r="AD46" s="8">
        <f>AD47+AD59+AD60</f>
        <v>10</v>
      </c>
      <c r="AE46" s="8">
        <f>AE47+AE59+AE60</f>
        <v>6</v>
      </c>
      <c r="AF46" s="8"/>
      <c r="AG46" s="8"/>
    </row>
    <row r="47" spans="1:33" s="71" customFormat="1" ht="9.75" customHeight="1" outlineLevel="1">
      <c r="A47" s="2" t="str">
        <f>"ОПДФ.00"</f>
        <v>ОПДФ.00</v>
      </c>
      <c r="B47" s="255" t="str">
        <f>"Федеральный компонент"</f>
        <v>Федеральный компонент</v>
      </c>
      <c r="C47" s="256"/>
      <c r="D47" s="256"/>
      <c r="E47" s="256"/>
      <c r="F47" s="256"/>
      <c r="G47" s="256"/>
      <c r="H47" s="256"/>
      <c r="I47" s="257"/>
      <c r="J47" s="106"/>
      <c r="K47" s="121"/>
      <c r="L47" s="106"/>
      <c r="M47" s="54"/>
      <c r="N47" s="218">
        <v>1110</v>
      </c>
      <c r="O47" s="219"/>
      <c r="P47" s="130">
        <v>1110</v>
      </c>
      <c r="Q47" s="8">
        <f t="shared" si="9"/>
        <v>666</v>
      </c>
      <c r="R47" s="2">
        <v>360</v>
      </c>
      <c r="S47" s="2"/>
      <c r="T47" s="2">
        <v>306</v>
      </c>
      <c r="U47" s="2"/>
      <c r="V47" s="2"/>
      <c r="W47" s="89">
        <f t="shared" si="1"/>
        <v>444</v>
      </c>
      <c r="X47" s="8"/>
      <c r="Y47" s="8"/>
      <c r="Z47" s="8"/>
      <c r="AA47" s="8">
        <f>AA48+AA57</f>
        <v>4</v>
      </c>
      <c r="AB47" s="8">
        <f>AB48+AB57</f>
        <v>12</v>
      </c>
      <c r="AC47" s="8">
        <f>AC48+AC57</f>
        <v>7</v>
      </c>
      <c r="AD47" s="8">
        <f>AD48+AD57</f>
        <v>10</v>
      </c>
      <c r="AE47" s="8">
        <f>AE48+AE57</f>
        <v>4</v>
      </c>
      <c r="AF47" s="8"/>
      <c r="AG47" s="8"/>
    </row>
    <row r="48" spans="1:33" s="71" customFormat="1" ht="9.75" customHeight="1" outlineLevel="1">
      <c r="A48" s="8" t="str">
        <f>"ОПДФ.01"</f>
        <v>ОПДФ.01</v>
      </c>
      <c r="B48" s="210" t="str">
        <f>"Теоретическая физика"</f>
        <v>Теоретическая физика</v>
      </c>
      <c r="C48" s="186"/>
      <c r="D48" s="186"/>
      <c r="E48" s="186"/>
      <c r="F48" s="186"/>
      <c r="G48" s="186"/>
      <c r="H48" s="186"/>
      <c r="I48" s="211"/>
      <c r="J48" s="14"/>
      <c r="K48" s="8"/>
      <c r="L48" s="14"/>
      <c r="M48" s="54"/>
      <c r="N48" s="214">
        <v>870</v>
      </c>
      <c r="O48" s="215"/>
      <c r="P48" s="131">
        <v>870</v>
      </c>
      <c r="Q48" s="8">
        <f t="shared" si="9"/>
        <v>558</v>
      </c>
      <c r="R48" s="8">
        <v>306</v>
      </c>
      <c r="S48" s="8"/>
      <c r="T48" s="8">
        <v>252</v>
      </c>
      <c r="U48" s="8"/>
      <c r="V48" s="8"/>
      <c r="W48" s="89">
        <f t="shared" si="1"/>
        <v>312</v>
      </c>
      <c r="X48" s="8"/>
      <c r="Y48" s="8"/>
      <c r="Z48" s="8"/>
      <c r="AA48" s="8">
        <f>SUM(AA49:AA56)</f>
        <v>4</v>
      </c>
      <c r="AB48" s="8">
        <f>SUM(AB49:AB56)</f>
        <v>6</v>
      </c>
      <c r="AC48" s="8">
        <f>SUM(AC49:AC56)</f>
        <v>7</v>
      </c>
      <c r="AD48" s="8">
        <f>SUM(AD49:AD56)</f>
        <v>10</v>
      </c>
      <c r="AE48" s="8">
        <f>SUM(AE49:AE56)</f>
        <v>4</v>
      </c>
      <c r="AF48" s="8"/>
      <c r="AG48" s="8"/>
    </row>
    <row r="49" spans="1:33" s="71" customFormat="1" ht="9.75" customHeight="1" outlineLevel="1">
      <c r="A49" s="14" t="str">
        <f>"ОПДФ.01.1"</f>
        <v>ОПДФ.01.1</v>
      </c>
      <c r="B49" s="210" t="str">
        <f>"Механика"</f>
        <v>Механика</v>
      </c>
      <c r="C49" s="186"/>
      <c r="D49" s="186"/>
      <c r="E49" s="186"/>
      <c r="F49" s="186"/>
      <c r="G49" s="186"/>
      <c r="H49" s="186"/>
      <c r="I49" s="211"/>
      <c r="J49" s="118"/>
      <c r="K49" s="118">
        <v>4</v>
      </c>
      <c r="L49" s="107"/>
      <c r="M49" s="54"/>
      <c r="N49" s="210"/>
      <c r="O49" s="211"/>
      <c r="P49" s="134">
        <v>140</v>
      </c>
      <c r="Q49" s="8">
        <f t="shared" si="9"/>
        <v>72</v>
      </c>
      <c r="R49" s="135">
        <v>36</v>
      </c>
      <c r="S49" s="135"/>
      <c r="T49" s="135">
        <v>36</v>
      </c>
      <c r="U49" s="135"/>
      <c r="V49" s="135"/>
      <c r="W49" s="89">
        <f t="shared" si="1"/>
        <v>68</v>
      </c>
      <c r="X49" s="100"/>
      <c r="Y49" s="100"/>
      <c r="Z49" s="100"/>
      <c r="AA49" s="100">
        <v>4</v>
      </c>
      <c r="AB49" s="100"/>
      <c r="AC49" s="100"/>
      <c r="AD49" s="100"/>
      <c r="AE49" s="100"/>
      <c r="AF49" s="100"/>
      <c r="AG49" s="100"/>
    </row>
    <row r="50" spans="1:33" s="71" customFormat="1" ht="9.75" customHeight="1" outlineLevel="1">
      <c r="A50" s="14" t="str">
        <f>"ОПДФ.01.2"</f>
        <v>ОПДФ.01.2</v>
      </c>
      <c r="B50" s="210" t="s">
        <v>123</v>
      </c>
      <c r="C50" s="186"/>
      <c r="D50" s="186"/>
      <c r="E50" s="186"/>
      <c r="F50" s="186"/>
      <c r="G50" s="186"/>
      <c r="H50" s="186"/>
      <c r="I50" s="211"/>
      <c r="J50" s="11">
        <v>5</v>
      </c>
      <c r="K50" s="11"/>
      <c r="L50" s="108"/>
      <c r="M50" s="52"/>
      <c r="N50" s="214"/>
      <c r="O50" s="215"/>
      <c r="P50" s="131">
        <v>60</v>
      </c>
      <c r="Q50" s="8">
        <f t="shared" si="9"/>
        <v>36</v>
      </c>
      <c r="R50" s="10">
        <v>18</v>
      </c>
      <c r="S50" s="10"/>
      <c r="T50" s="10">
        <v>18</v>
      </c>
      <c r="U50" s="10"/>
      <c r="V50" s="10"/>
      <c r="W50" s="89">
        <f t="shared" si="1"/>
        <v>24</v>
      </c>
      <c r="X50" s="8"/>
      <c r="Y50" s="8"/>
      <c r="Z50" s="8"/>
      <c r="AA50" s="8"/>
      <c r="AB50" s="8">
        <v>2</v>
      </c>
      <c r="AC50" s="8"/>
      <c r="AD50" s="8"/>
      <c r="AE50" s="8"/>
      <c r="AF50" s="8"/>
      <c r="AG50" s="8"/>
    </row>
    <row r="51" spans="1:33" s="71" customFormat="1" ht="9.75" customHeight="1" outlineLevel="1">
      <c r="A51" s="14" t="str">
        <f>"ОПДФ.01.3"</f>
        <v>ОПДФ.01.3</v>
      </c>
      <c r="B51" s="210" t="str">
        <f>"Электродинамика"</f>
        <v>Электродинамика</v>
      </c>
      <c r="C51" s="186"/>
      <c r="D51" s="186"/>
      <c r="E51" s="186"/>
      <c r="F51" s="186"/>
      <c r="G51" s="186"/>
      <c r="H51" s="186"/>
      <c r="I51" s="211"/>
      <c r="J51" s="118"/>
      <c r="K51" s="118">
        <v>5</v>
      </c>
      <c r="L51" s="107"/>
      <c r="M51" s="47"/>
      <c r="N51" s="210"/>
      <c r="O51" s="211"/>
      <c r="P51" s="134">
        <v>100</v>
      </c>
      <c r="Q51" s="8">
        <f t="shared" si="9"/>
        <v>72</v>
      </c>
      <c r="R51" s="135">
        <v>36</v>
      </c>
      <c r="S51" s="135"/>
      <c r="T51" s="135">
        <v>36</v>
      </c>
      <c r="U51" s="135"/>
      <c r="V51" s="135"/>
      <c r="W51" s="89">
        <f t="shared" si="1"/>
        <v>28</v>
      </c>
      <c r="X51" s="100"/>
      <c r="Y51" s="100"/>
      <c r="Z51" s="100"/>
      <c r="AA51" s="100"/>
      <c r="AB51" s="100">
        <v>4</v>
      </c>
      <c r="AC51" s="100"/>
      <c r="AD51" s="100"/>
      <c r="AE51" s="100"/>
      <c r="AF51" s="100"/>
      <c r="AG51" s="100"/>
    </row>
    <row r="52" spans="1:34" s="71" customFormat="1" ht="9.75" customHeight="1" outlineLevel="1">
      <c r="A52" s="14" t="str">
        <f>"ОПДФ.01.4"</f>
        <v>ОПДФ.01.4</v>
      </c>
      <c r="B52" s="210" t="s">
        <v>122</v>
      </c>
      <c r="C52" s="186"/>
      <c r="D52" s="186"/>
      <c r="E52" s="186"/>
      <c r="F52" s="186"/>
      <c r="G52" s="186"/>
      <c r="H52" s="186"/>
      <c r="I52" s="211"/>
      <c r="J52" s="118">
        <v>6</v>
      </c>
      <c r="K52" s="118"/>
      <c r="L52" s="107"/>
      <c r="M52" s="46"/>
      <c r="N52" s="210"/>
      <c r="O52" s="211"/>
      <c r="P52" s="134">
        <v>100</v>
      </c>
      <c r="Q52" s="8">
        <f t="shared" si="9"/>
        <v>72</v>
      </c>
      <c r="R52" s="135">
        <v>36</v>
      </c>
      <c r="S52" s="135"/>
      <c r="T52" s="135">
        <v>36</v>
      </c>
      <c r="U52" s="135"/>
      <c r="V52" s="135"/>
      <c r="W52" s="89">
        <f t="shared" si="1"/>
        <v>28</v>
      </c>
      <c r="X52" s="100"/>
      <c r="Y52" s="100"/>
      <c r="Z52" s="100"/>
      <c r="AA52" s="100"/>
      <c r="AB52" s="100"/>
      <c r="AC52" s="100">
        <v>4</v>
      </c>
      <c r="AD52" s="100"/>
      <c r="AE52" s="100"/>
      <c r="AF52" s="100"/>
      <c r="AG52" s="100"/>
      <c r="AH52" s="72"/>
    </row>
    <row r="53" spans="1:33" s="72" customFormat="1" ht="9.75" customHeight="1">
      <c r="A53" s="14" t="str">
        <f>"ОПДФ.01.5"</f>
        <v>ОПДФ.01.5</v>
      </c>
      <c r="B53" s="210" t="str">
        <f>"Квантовая теория "</f>
        <v>Квантовая теория </v>
      </c>
      <c r="C53" s="186"/>
      <c r="D53" s="186"/>
      <c r="E53" s="186"/>
      <c r="F53" s="186"/>
      <c r="G53" s="186"/>
      <c r="H53" s="186"/>
      <c r="I53" s="211"/>
      <c r="J53" s="118">
        <v>7</v>
      </c>
      <c r="K53" s="118">
        <v>6</v>
      </c>
      <c r="L53" s="107"/>
      <c r="M53" s="53"/>
      <c r="N53" s="210"/>
      <c r="O53" s="211"/>
      <c r="P53" s="134">
        <v>230</v>
      </c>
      <c r="Q53" s="8">
        <f t="shared" si="9"/>
        <v>144</v>
      </c>
      <c r="R53" s="135">
        <v>90</v>
      </c>
      <c r="S53" s="135"/>
      <c r="T53" s="135">
        <v>54</v>
      </c>
      <c r="U53" s="135"/>
      <c r="V53" s="135"/>
      <c r="W53" s="89">
        <f t="shared" si="1"/>
        <v>86</v>
      </c>
      <c r="X53" s="100"/>
      <c r="Y53" s="100"/>
      <c r="Z53" s="100"/>
      <c r="AA53" s="100"/>
      <c r="AB53" s="100"/>
      <c r="AC53" s="100">
        <v>3</v>
      </c>
      <c r="AD53" s="100">
        <v>5</v>
      </c>
      <c r="AE53" s="100"/>
      <c r="AF53" s="100"/>
      <c r="AG53" s="100"/>
    </row>
    <row r="54" spans="1:34" s="72" customFormat="1" ht="9.75" customHeight="1">
      <c r="A54" s="14" t="str">
        <f>"ОПДФ.01.6"</f>
        <v>ОПДФ.01.6</v>
      </c>
      <c r="B54" s="210" t="str">
        <f>"Физика конденсированного состояния"</f>
        <v>Физика конденсированного состояния</v>
      </c>
      <c r="C54" s="186"/>
      <c r="D54" s="186"/>
      <c r="E54" s="186"/>
      <c r="F54" s="186"/>
      <c r="G54" s="186"/>
      <c r="H54" s="186"/>
      <c r="I54" s="211"/>
      <c r="J54" s="118">
        <v>8</v>
      </c>
      <c r="K54" s="118"/>
      <c r="L54" s="107"/>
      <c r="M54" s="54"/>
      <c r="N54" s="210"/>
      <c r="O54" s="211"/>
      <c r="P54" s="134">
        <v>60</v>
      </c>
      <c r="Q54" s="8">
        <f t="shared" si="9"/>
        <v>36</v>
      </c>
      <c r="R54" s="135">
        <v>18</v>
      </c>
      <c r="S54" s="135"/>
      <c r="T54" s="135">
        <v>18</v>
      </c>
      <c r="U54" s="135"/>
      <c r="V54" s="135"/>
      <c r="W54" s="89">
        <f t="shared" si="1"/>
        <v>24</v>
      </c>
      <c r="X54" s="100"/>
      <c r="Y54" s="100"/>
      <c r="Z54" s="100"/>
      <c r="AA54" s="100"/>
      <c r="AB54" s="100"/>
      <c r="AC54" s="100"/>
      <c r="AD54" s="100"/>
      <c r="AE54" s="100">
        <v>2</v>
      </c>
      <c r="AF54" s="100"/>
      <c r="AG54" s="100"/>
      <c r="AH54" s="71"/>
    </row>
    <row r="55" spans="1:33" s="71" customFormat="1" ht="9.75" customHeight="1" outlineLevel="1">
      <c r="A55" s="14" t="str">
        <f>"ОПДФ.01.7"</f>
        <v>ОПДФ.01.7</v>
      </c>
      <c r="B55" s="210" t="str">
        <f>"Термодинамика и статистическая физика"</f>
        <v>Термодинамика и статистическая физика</v>
      </c>
      <c r="C55" s="186"/>
      <c r="D55" s="186"/>
      <c r="E55" s="186"/>
      <c r="F55" s="186"/>
      <c r="G55" s="186"/>
      <c r="H55" s="186"/>
      <c r="I55" s="211"/>
      <c r="J55" s="118">
        <v>7</v>
      </c>
      <c r="K55" s="118"/>
      <c r="L55" s="107"/>
      <c r="M55" s="54"/>
      <c r="N55" s="210"/>
      <c r="O55" s="211"/>
      <c r="P55" s="134">
        <v>120</v>
      </c>
      <c r="Q55" s="8">
        <f t="shared" si="9"/>
        <v>90</v>
      </c>
      <c r="R55" s="135">
        <v>54</v>
      </c>
      <c r="S55" s="135"/>
      <c r="T55" s="135">
        <v>36</v>
      </c>
      <c r="U55" s="135"/>
      <c r="V55" s="135"/>
      <c r="W55" s="89">
        <f t="shared" si="1"/>
        <v>30</v>
      </c>
      <c r="X55" s="100"/>
      <c r="Y55" s="100"/>
      <c r="Z55" s="100"/>
      <c r="AA55" s="100"/>
      <c r="AB55" s="100"/>
      <c r="AC55" s="100"/>
      <c r="AD55" s="100">
        <v>5</v>
      </c>
      <c r="AE55" s="100"/>
      <c r="AF55" s="100"/>
      <c r="AG55" s="100"/>
    </row>
    <row r="56" spans="1:33" s="71" customFormat="1" ht="9.75" customHeight="1" outlineLevel="1">
      <c r="A56" s="14" t="str">
        <f>"ОПДФ.01.8"</f>
        <v>ОПДФ.01.8</v>
      </c>
      <c r="B56" s="210" t="s">
        <v>32</v>
      </c>
      <c r="C56" s="186"/>
      <c r="D56" s="186"/>
      <c r="E56" s="186"/>
      <c r="F56" s="186"/>
      <c r="G56" s="186"/>
      <c r="H56" s="186"/>
      <c r="I56" s="211"/>
      <c r="J56" s="122"/>
      <c r="K56" s="122">
        <v>8</v>
      </c>
      <c r="L56" s="123"/>
      <c r="M56" s="54"/>
      <c r="N56" s="210"/>
      <c r="O56" s="211"/>
      <c r="P56" s="134">
        <v>60</v>
      </c>
      <c r="Q56" s="8">
        <f t="shared" si="9"/>
        <v>36</v>
      </c>
      <c r="R56" s="138">
        <v>18</v>
      </c>
      <c r="S56" s="138"/>
      <c r="T56" s="138">
        <v>18</v>
      </c>
      <c r="U56" s="138"/>
      <c r="V56" s="138"/>
      <c r="W56" s="89">
        <f>P56-Q56-V56</f>
        <v>24</v>
      </c>
      <c r="X56" s="100"/>
      <c r="Y56" s="100"/>
      <c r="Z56" s="100"/>
      <c r="AA56" s="100"/>
      <c r="AB56" s="100"/>
      <c r="AC56" s="100"/>
      <c r="AD56" s="100"/>
      <c r="AE56" s="100">
        <v>2</v>
      </c>
      <c r="AF56" s="100"/>
      <c r="AG56" s="100"/>
    </row>
    <row r="57" spans="1:33" s="71" customFormat="1" ht="9.75" customHeight="1" outlineLevel="1">
      <c r="A57" s="8" t="str">
        <f>"ОПДФ.02"</f>
        <v>ОПДФ.02</v>
      </c>
      <c r="B57" s="210" t="str">
        <f>"Методы математической физики"</f>
        <v>Методы математической физики</v>
      </c>
      <c r="C57" s="186"/>
      <c r="D57" s="186"/>
      <c r="E57" s="186"/>
      <c r="F57" s="186"/>
      <c r="G57" s="186"/>
      <c r="H57" s="186"/>
      <c r="I57" s="211"/>
      <c r="J57" s="11"/>
      <c r="K57" s="11"/>
      <c r="L57" s="108"/>
      <c r="M57" s="54"/>
      <c r="N57" s="214">
        <v>240</v>
      </c>
      <c r="O57" s="215"/>
      <c r="P57" s="132">
        <v>240</v>
      </c>
      <c r="Q57" s="8">
        <f t="shared" si="9"/>
        <v>108</v>
      </c>
      <c r="R57" s="10">
        <v>54</v>
      </c>
      <c r="S57" s="10"/>
      <c r="T57" s="10">
        <v>54</v>
      </c>
      <c r="U57" s="10"/>
      <c r="V57" s="10"/>
      <c r="W57" s="89">
        <f t="shared" si="1"/>
        <v>132</v>
      </c>
      <c r="X57" s="8"/>
      <c r="Y57" s="8"/>
      <c r="Z57" s="8"/>
      <c r="AA57" s="8"/>
      <c r="AB57" s="8">
        <v>6</v>
      </c>
      <c r="AC57" s="8"/>
      <c r="AD57" s="8"/>
      <c r="AE57" s="8"/>
      <c r="AF57" s="8"/>
      <c r="AG57" s="8"/>
    </row>
    <row r="58" spans="1:33" s="71" customFormat="1" ht="9.75" customHeight="1" outlineLevel="1">
      <c r="A58" s="8" t="str">
        <f>"ОПДФ.02"&amp;" 01"</f>
        <v>ОПДФ.02 01</v>
      </c>
      <c r="B58" s="210" t="str">
        <f>"Линейные и нелинейные уравнения физики"</f>
        <v>Линейные и нелинейные уравнения физики</v>
      </c>
      <c r="C58" s="186"/>
      <c r="D58" s="186"/>
      <c r="E58" s="186"/>
      <c r="F58" s="186"/>
      <c r="G58" s="186"/>
      <c r="H58" s="186"/>
      <c r="I58" s="211"/>
      <c r="J58" s="11">
        <v>5</v>
      </c>
      <c r="K58" s="11"/>
      <c r="L58" s="108"/>
      <c r="M58" s="54"/>
      <c r="N58" s="214">
        <v>240</v>
      </c>
      <c r="O58" s="215"/>
      <c r="P58" s="132">
        <v>240</v>
      </c>
      <c r="Q58" s="8">
        <f t="shared" si="9"/>
        <v>108</v>
      </c>
      <c r="R58" s="10">
        <v>54</v>
      </c>
      <c r="S58" s="10"/>
      <c r="T58" s="10">
        <v>54</v>
      </c>
      <c r="U58" s="10"/>
      <c r="V58" s="10"/>
      <c r="W58" s="89">
        <f t="shared" si="1"/>
        <v>132</v>
      </c>
      <c r="X58" s="8"/>
      <c r="Y58" s="8"/>
      <c r="Z58" s="8"/>
      <c r="AA58" s="8"/>
      <c r="AB58" s="8">
        <v>6</v>
      </c>
      <c r="AC58" s="8"/>
      <c r="AD58" s="8"/>
      <c r="AE58" s="8"/>
      <c r="AF58" s="8"/>
      <c r="AG58" s="8"/>
    </row>
    <row r="59" spans="1:33" s="71" customFormat="1" ht="9.75" customHeight="1" outlineLevel="1">
      <c r="A59" s="8" t="str">
        <f>"ОПДР.00"</f>
        <v>ОПДР.00</v>
      </c>
      <c r="B59" s="173" t="str">
        <f>"Национально-региональный (вузовский) компонент"</f>
        <v>Национально-региональный (вузовский) компонент</v>
      </c>
      <c r="C59" s="174"/>
      <c r="D59" s="174"/>
      <c r="E59" s="174"/>
      <c r="F59" s="174"/>
      <c r="G59" s="174"/>
      <c r="H59" s="174"/>
      <c r="I59" s="175"/>
      <c r="J59" s="124"/>
      <c r="K59" s="11">
        <v>4</v>
      </c>
      <c r="L59" s="105"/>
      <c r="M59" s="54"/>
      <c r="N59" s="214">
        <v>100</v>
      </c>
      <c r="O59" s="215"/>
      <c r="P59" s="132">
        <v>100</v>
      </c>
      <c r="Q59" s="8">
        <f t="shared" si="9"/>
        <v>36</v>
      </c>
      <c r="R59" s="10">
        <v>18</v>
      </c>
      <c r="S59" s="10"/>
      <c r="T59" s="10">
        <v>18</v>
      </c>
      <c r="U59" s="10"/>
      <c r="V59" s="10"/>
      <c r="W59" s="89">
        <f t="shared" si="1"/>
        <v>64</v>
      </c>
      <c r="X59" s="8"/>
      <c r="Y59" s="8"/>
      <c r="Z59" s="8"/>
      <c r="AA59" s="8">
        <v>2</v>
      </c>
      <c r="AB59" s="8"/>
      <c r="AC59" s="8"/>
      <c r="AD59" s="8"/>
      <c r="AE59" s="8"/>
      <c r="AF59" s="8"/>
      <c r="AG59" s="8"/>
    </row>
    <row r="60" spans="1:33" s="71" customFormat="1" ht="9.75" customHeight="1" outlineLevel="1">
      <c r="A60" s="8" t="str">
        <f>"ОПДВ.00"</f>
        <v>ОПДВ.00</v>
      </c>
      <c r="B60" s="236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60" s="237"/>
      <c r="D60" s="237"/>
      <c r="E60" s="237"/>
      <c r="F60" s="237"/>
      <c r="G60" s="237"/>
      <c r="H60" s="237"/>
      <c r="I60" s="238"/>
      <c r="J60" s="125"/>
      <c r="K60" s="8">
        <v>8</v>
      </c>
      <c r="L60" s="8"/>
      <c r="M60" s="54"/>
      <c r="N60" s="214">
        <v>100</v>
      </c>
      <c r="O60" s="215"/>
      <c r="P60" s="137">
        <v>100</v>
      </c>
      <c r="Q60" s="8">
        <f t="shared" si="9"/>
        <v>36</v>
      </c>
      <c r="R60" s="10">
        <v>18</v>
      </c>
      <c r="S60" s="10"/>
      <c r="T60" s="10">
        <v>18</v>
      </c>
      <c r="U60" s="10"/>
      <c r="V60" s="10"/>
      <c r="W60" s="89">
        <f t="shared" si="1"/>
        <v>64</v>
      </c>
      <c r="X60" s="8"/>
      <c r="Y60" s="8"/>
      <c r="Z60" s="8"/>
      <c r="AA60" s="8"/>
      <c r="AB60" s="8"/>
      <c r="AC60" s="8"/>
      <c r="AD60" s="8"/>
      <c r="AE60" s="8">
        <v>2</v>
      </c>
      <c r="AF60" s="8"/>
      <c r="AG60" s="8"/>
    </row>
    <row r="61" spans="1:33" s="71" customFormat="1" ht="28.5" customHeight="1" outlineLevel="1">
      <c r="A61" s="101" t="str">
        <f>"ДС.00"</f>
        <v>ДС.00</v>
      </c>
      <c r="B61" s="176" t="str">
        <f>"Дисциплины специализации"</f>
        <v>Дисциплины специализации</v>
      </c>
      <c r="C61" s="168"/>
      <c r="D61" s="168"/>
      <c r="E61" s="168"/>
      <c r="F61" s="168"/>
      <c r="G61" s="168"/>
      <c r="H61" s="168"/>
      <c r="I61" s="228"/>
      <c r="J61" s="126" t="s">
        <v>140</v>
      </c>
      <c r="K61" s="126" t="s">
        <v>139</v>
      </c>
      <c r="L61" s="17">
        <v>789</v>
      </c>
      <c r="M61" s="54"/>
      <c r="N61" s="214">
        <v>1532</v>
      </c>
      <c r="O61" s="215"/>
      <c r="P61" s="137">
        <v>1532</v>
      </c>
      <c r="Q61" s="8">
        <f t="shared" si="9"/>
        <v>1146</v>
      </c>
      <c r="R61" s="139">
        <v>576</v>
      </c>
      <c r="S61" s="139">
        <v>166</v>
      </c>
      <c r="T61" s="139">
        <v>404</v>
      </c>
      <c r="U61" s="139"/>
      <c r="V61" s="139">
        <v>24</v>
      </c>
      <c r="W61" s="89">
        <f t="shared" si="1"/>
        <v>362</v>
      </c>
      <c r="X61" s="8"/>
      <c r="Y61" s="8"/>
      <c r="Z61" s="8"/>
      <c r="AA61" s="8"/>
      <c r="AB61" s="8">
        <f>SUM(AB63:AB73)</f>
        <v>5</v>
      </c>
      <c r="AC61" s="8">
        <f>SUM(AC63:AC73)</f>
        <v>9</v>
      </c>
      <c r="AD61" s="8">
        <f>SUM(AD63:AD73)</f>
        <v>13</v>
      </c>
      <c r="AE61" s="8">
        <f>SUM(AE63:AE73)</f>
        <v>18</v>
      </c>
      <c r="AF61" s="8">
        <f>SUM(AF63:AF73)</f>
        <v>24</v>
      </c>
      <c r="AG61" s="2"/>
    </row>
    <row r="62" spans="1:33" s="71" customFormat="1" ht="12.75" customHeight="1" outlineLevel="1">
      <c r="A62" s="102" t="s">
        <v>147</v>
      </c>
      <c r="B62" s="169" t="s">
        <v>148</v>
      </c>
      <c r="C62" s="149"/>
      <c r="D62" s="149"/>
      <c r="E62" s="149"/>
      <c r="F62" s="149"/>
      <c r="G62" s="149"/>
      <c r="H62" s="149"/>
      <c r="I62" s="110"/>
      <c r="J62" s="126"/>
      <c r="K62" s="126"/>
      <c r="L62" s="17"/>
      <c r="M62" s="54"/>
      <c r="N62" s="10"/>
      <c r="O62" s="11"/>
      <c r="P62" s="137">
        <v>350</v>
      </c>
      <c r="Q62" s="8">
        <v>270</v>
      </c>
      <c r="R62" s="139">
        <v>144</v>
      </c>
      <c r="S62" s="139"/>
      <c r="T62" s="139">
        <v>126</v>
      </c>
      <c r="U62" s="139"/>
      <c r="V62" s="139"/>
      <c r="W62" s="89"/>
      <c r="X62" s="8"/>
      <c r="Y62" s="8"/>
      <c r="Z62" s="8"/>
      <c r="AA62" s="8"/>
      <c r="AB62" s="8"/>
      <c r="AC62" s="8"/>
      <c r="AD62" s="8"/>
      <c r="AE62" s="8"/>
      <c r="AF62" s="8"/>
      <c r="AG62" s="2"/>
    </row>
    <row r="63" spans="1:33" s="71" customFormat="1" ht="9.75" customHeight="1" outlineLevel="1">
      <c r="A63" s="2" t="str">
        <f>"ДС.01.01"</f>
        <v>ДС.01.01</v>
      </c>
      <c r="B63" s="210" t="s">
        <v>127</v>
      </c>
      <c r="C63" s="186"/>
      <c r="D63" s="186"/>
      <c r="E63" s="186"/>
      <c r="F63" s="186"/>
      <c r="G63" s="186"/>
      <c r="H63" s="186"/>
      <c r="I63" s="211"/>
      <c r="J63" s="118">
        <v>5</v>
      </c>
      <c r="K63" s="118"/>
      <c r="L63" s="118"/>
      <c r="M63" s="54"/>
      <c r="N63" s="210"/>
      <c r="O63" s="211"/>
      <c r="P63" s="140">
        <v>80</v>
      </c>
      <c r="Q63" s="8">
        <f t="shared" si="9"/>
        <v>54</v>
      </c>
      <c r="R63" s="135">
        <v>36</v>
      </c>
      <c r="S63" s="135"/>
      <c r="T63" s="135">
        <v>18</v>
      </c>
      <c r="U63" s="135"/>
      <c r="V63" s="135"/>
      <c r="W63" s="89">
        <f t="shared" si="1"/>
        <v>26</v>
      </c>
      <c r="X63" s="100"/>
      <c r="Y63" s="100"/>
      <c r="Z63" s="100"/>
      <c r="AA63" s="100"/>
      <c r="AB63" s="100">
        <v>3</v>
      </c>
      <c r="AC63" s="100"/>
      <c r="AD63" s="100"/>
      <c r="AE63" s="100"/>
      <c r="AF63" s="100"/>
      <c r="AG63" s="100"/>
    </row>
    <row r="64" spans="1:33" s="71" customFormat="1" ht="9.75" customHeight="1" outlineLevel="1">
      <c r="A64" s="2" t="str">
        <f>"ДС.01.02"</f>
        <v>ДС.01.02</v>
      </c>
      <c r="B64" s="210" t="s">
        <v>128</v>
      </c>
      <c r="C64" s="186"/>
      <c r="D64" s="186"/>
      <c r="E64" s="186"/>
      <c r="F64" s="186"/>
      <c r="G64" s="186"/>
      <c r="H64" s="186"/>
      <c r="I64" s="211"/>
      <c r="J64" s="118">
        <v>67</v>
      </c>
      <c r="K64" s="118"/>
      <c r="L64" s="107"/>
      <c r="M64" s="54"/>
      <c r="N64" s="210"/>
      <c r="O64" s="211"/>
      <c r="P64" s="140">
        <v>130</v>
      </c>
      <c r="Q64" s="8">
        <f>X64*$X$7+Y64*$Y$7+Z64*$Z$7+AA64*$AA$7+AB64*$AB$7+AC64*$AC$7+AD64*$AD$7+AE64*$AE$7+AF64*$AF$7+AG64*$AG$7</f>
        <v>108</v>
      </c>
      <c r="R64" s="135">
        <v>54</v>
      </c>
      <c r="S64" s="135"/>
      <c r="T64" s="135">
        <v>54</v>
      </c>
      <c r="U64" s="135"/>
      <c r="V64" s="135"/>
      <c r="W64" s="89">
        <f t="shared" si="1"/>
        <v>22</v>
      </c>
      <c r="X64" s="100"/>
      <c r="Y64" s="100"/>
      <c r="Z64" s="100"/>
      <c r="AA64" s="100"/>
      <c r="AB64" s="100"/>
      <c r="AC64" s="100">
        <v>3</v>
      </c>
      <c r="AD64" s="100">
        <v>3</v>
      </c>
      <c r="AE64" s="100"/>
      <c r="AF64" s="100"/>
      <c r="AG64" s="100"/>
    </row>
    <row r="65" spans="1:33" s="71" customFormat="1" ht="11.25" customHeight="1" outlineLevel="1">
      <c r="A65" s="2" t="str">
        <f>"ДС.01.03"</f>
        <v>ДС.01.03</v>
      </c>
      <c r="B65" s="210" t="s">
        <v>129</v>
      </c>
      <c r="C65" s="186"/>
      <c r="D65" s="186"/>
      <c r="E65" s="186"/>
      <c r="F65" s="186"/>
      <c r="G65" s="186"/>
      <c r="H65" s="186"/>
      <c r="I65" s="211"/>
      <c r="J65" s="118">
        <v>8</v>
      </c>
      <c r="K65" s="118">
        <v>7</v>
      </c>
      <c r="L65" s="118"/>
      <c r="M65" s="54"/>
      <c r="N65" s="210"/>
      <c r="O65" s="211"/>
      <c r="P65" s="140">
        <v>140</v>
      </c>
      <c r="Q65" s="8">
        <f>X65*$X$7+Y65*$Y$7+Z65*$Z$7+AA65*$AA$7+AB65*$AB$7+AC65*$AC$7+AD65*$AD$7+AE65*$AE$7+AF65*$AF$7+AG65*$AG$7</f>
        <v>108</v>
      </c>
      <c r="R65" s="135">
        <v>54</v>
      </c>
      <c r="S65" s="135"/>
      <c r="T65" s="135">
        <v>54</v>
      </c>
      <c r="U65" s="135"/>
      <c r="V65" s="135">
        <v>6</v>
      </c>
      <c r="W65" s="89">
        <f t="shared" si="1"/>
        <v>26</v>
      </c>
      <c r="X65" s="100"/>
      <c r="Y65" s="100"/>
      <c r="Z65" s="100"/>
      <c r="AA65" s="100"/>
      <c r="AB65" s="100"/>
      <c r="AC65" s="100"/>
      <c r="AD65" s="100">
        <v>3</v>
      </c>
      <c r="AE65" s="100">
        <v>3</v>
      </c>
      <c r="AF65" s="100"/>
      <c r="AG65" s="100"/>
    </row>
    <row r="66" spans="1:33" s="71" customFormat="1" ht="9.75" customHeight="1" outlineLevel="1">
      <c r="A66" s="2" t="str">
        <f>"ДС.02"</f>
        <v>ДС.02</v>
      </c>
      <c r="B66" s="210" t="s">
        <v>130</v>
      </c>
      <c r="C66" s="186"/>
      <c r="D66" s="186"/>
      <c r="E66" s="186"/>
      <c r="F66" s="186"/>
      <c r="G66" s="186"/>
      <c r="H66" s="186"/>
      <c r="I66" s="211"/>
      <c r="J66" s="118"/>
      <c r="K66" s="118">
        <v>7</v>
      </c>
      <c r="L66" s="107"/>
      <c r="M66" s="52"/>
      <c r="N66" s="210"/>
      <c r="O66" s="211"/>
      <c r="P66" s="140">
        <v>80</v>
      </c>
      <c r="Q66" s="8">
        <f>X66*$X$7+Y66*$Y$7+Z66*$Z$7+AA66*$AA$7+AB66*$AB$7+AC66*$AC$7+AD66*$AD$7+AE66*$AE$7+AF66*$AF$7+AG66*$AG$7</f>
        <v>54</v>
      </c>
      <c r="R66" s="135">
        <v>36</v>
      </c>
      <c r="S66" s="135"/>
      <c r="T66" s="135">
        <v>18</v>
      </c>
      <c r="U66" s="135"/>
      <c r="V66" s="135"/>
      <c r="W66" s="89">
        <f t="shared" si="1"/>
        <v>26</v>
      </c>
      <c r="X66" s="100"/>
      <c r="Y66" s="100"/>
      <c r="Z66" s="100"/>
      <c r="AA66" s="100"/>
      <c r="AB66" s="100"/>
      <c r="AC66" s="100"/>
      <c r="AD66" s="100">
        <v>3</v>
      </c>
      <c r="AE66" s="100"/>
      <c r="AF66" s="100"/>
      <c r="AG66" s="100"/>
    </row>
    <row r="67" spans="1:33" s="71" customFormat="1" ht="9.75" customHeight="1" outlineLevel="1">
      <c r="A67" s="2" t="str">
        <f>"ДС.03"</f>
        <v>ДС.03</v>
      </c>
      <c r="B67" s="210" t="s">
        <v>114</v>
      </c>
      <c r="C67" s="186"/>
      <c r="D67" s="186"/>
      <c r="E67" s="186"/>
      <c r="F67" s="186"/>
      <c r="G67" s="186"/>
      <c r="H67" s="186"/>
      <c r="I67" s="211"/>
      <c r="J67" s="118"/>
      <c r="K67" s="118">
        <v>7</v>
      </c>
      <c r="L67" s="118">
        <v>7</v>
      </c>
      <c r="M67" s="47"/>
      <c r="N67" s="210"/>
      <c r="O67" s="211"/>
      <c r="P67" s="140">
        <v>110</v>
      </c>
      <c r="Q67" s="8">
        <f>X67*$X$7+Y67*$Y$7+Z67*$Z$7+AA67*$AA$7+AB67*$AB$7+AC67*$AC$7+AD67*$AD$7+AE67*$AE$7+AF67*$AF$7+AG67*$AG$7</f>
        <v>72</v>
      </c>
      <c r="R67" s="135">
        <v>36</v>
      </c>
      <c r="S67" s="135"/>
      <c r="T67" s="135">
        <v>36</v>
      </c>
      <c r="U67" s="135"/>
      <c r="V67" s="135">
        <v>6</v>
      </c>
      <c r="W67" s="89">
        <f t="shared" si="1"/>
        <v>32</v>
      </c>
      <c r="X67" s="100"/>
      <c r="Y67" s="100"/>
      <c r="Z67" s="100"/>
      <c r="AA67" s="100"/>
      <c r="AB67" s="100"/>
      <c r="AC67" s="100"/>
      <c r="AD67" s="100">
        <v>4</v>
      </c>
      <c r="AE67" s="100"/>
      <c r="AF67" s="100"/>
      <c r="AG67" s="100"/>
    </row>
    <row r="68" spans="1:33" s="71" customFormat="1" ht="9.75" customHeight="1" outlineLevel="1">
      <c r="A68" s="2" t="str">
        <f>"ДС.04"</f>
        <v>ДС.04</v>
      </c>
      <c r="B68" s="147" t="s">
        <v>115</v>
      </c>
      <c r="C68" s="146"/>
      <c r="D68" s="146"/>
      <c r="E68" s="146"/>
      <c r="F68" s="146"/>
      <c r="G68" s="146"/>
      <c r="H68" s="146"/>
      <c r="I68" s="107"/>
      <c r="J68" s="118">
        <v>8</v>
      </c>
      <c r="K68" s="118"/>
      <c r="L68" s="107"/>
      <c r="M68" s="47"/>
      <c r="N68" s="147"/>
      <c r="O68" s="107"/>
      <c r="P68" s="140">
        <v>110</v>
      </c>
      <c r="Q68" s="8">
        <f>X68*$X$7+Y68*$Y$7+Z68*$Z$7+AA68*$AA$7+AB68*$AB$7+AC68*$AC$7+AD68*$AD$7+AE68*$AE$7+AF68*$AF$7+AG68*$AG$7</f>
        <v>72</v>
      </c>
      <c r="R68" s="135">
        <v>36</v>
      </c>
      <c r="S68" s="135"/>
      <c r="T68" s="135">
        <v>36</v>
      </c>
      <c r="U68" s="135"/>
      <c r="V68" s="135"/>
      <c r="W68" s="89">
        <f t="shared" si="1"/>
        <v>38</v>
      </c>
      <c r="X68" s="100"/>
      <c r="Y68" s="100"/>
      <c r="Z68" s="100"/>
      <c r="AA68" s="100"/>
      <c r="AB68" s="100"/>
      <c r="AC68" s="100"/>
      <c r="AD68" s="100"/>
      <c r="AE68" s="100">
        <v>4</v>
      </c>
      <c r="AF68" s="100"/>
      <c r="AG68" s="100"/>
    </row>
    <row r="69" spans="1:33" s="71" customFormat="1" ht="9.75" customHeight="1" outlineLevel="1">
      <c r="A69" s="2" t="str">
        <f>"ДС.05"</f>
        <v>ДС.05</v>
      </c>
      <c r="B69" s="233" t="str">
        <f>"Радиационная физика"</f>
        <v>Радиационная физика</v>
      </c>
      <c r="C69" s="234"/>
      <c r="D69" s="234"/>
      <c r="E69" s="234"/>
      <c r="F69" s="234"/>
      <c r="G69" s="234"/>
      <c r="H69" s="234"/>
      <c r="I69" s="235"/>
      <c r="J69" s="118">
        <v>8</v>
      </c>
      <c r="K69" s="118"/>
      <c r="L69" s="107"/>
      <c r="M69" s="47"/>
      <c r="N69" s="147"/>
      <c r="O69" s="107"/>
      <c r="P69" s="140">
        <v>90</v>
      </c>
      <c r="Q69" s="8">
        <f t="shared" si="9"/>
        <v>54</v>
      </c>
      <c r="R69" s="135">
        <v>36</v>
      </c>
      <c r="S69" s="135"/>
      <c r="T69" s="135">
        <v>18</v>
      </c>
      <c r="U69" s="135"/>
      <c r="V69" s="135"/>
      <c r="W69" s="89">
        <f t="shared" si="1"/>
        <v>36</v>
      </c>
      <c r="X69" s="100"/>
      <c r="Y69" s="100"/>
      <c r="Z69" s="100"/>
      <c r="AA69" s="100"/>
      <c r="AB69" s="100"/>
      <c r="AC69" s="100"/>
      <c r="AD69" s="100"/>
      <c r="AE69" s="100">
        <v>3</v>
      </c>
      <c r="AF69" s="100"/>
      <c r="AG69" s="100"/>
    </row>
    <row r="70" spans="1:33" s="71" customFormat="1" ht="9.75" customHeight="1" outlineLevel="1">
      <c r="A70" s="2" t="str">
        <f>"ДС.06"</f>
        <v>ДС.06</v>
      </c>
      <c r="B70" s="233" t="str">
        <f>"Медицинская электроника и измерительные преобразователи"</f>
        <v>Медицинская электроника и измерительные преобразователи</v>
      </c>
      <c r="C70" s="234"/>
      <c r="D70" s="234"/>
      <c r="E70" s="234"/>
      <c r="F70" s="234"/>
      <c r="G70" s="234"/>
      <c r="H70" s="234"/>
      <c r="I70" s="235"/>
      <c r="J70" s="118">
        <v>9</v>
      </c>
      <c r="K70" s="118"/>
      <c r="L70" s="107"/>
      <c r="M70" s="47"/>
      <c r="N70" s="147"/>
      <c r="O70" s="107"/>
      <c r="P70" s="140">
        <v>120</v>
      </c>
      <c r="Q70" s="8">
        <f t="shared" si="9"/>
        <v>84</v>
      </c>
      <c r="R70" s="135">
        <v>42</v>
      </c>
      <c r="S70" s="135"/>
      <c r="T70" s="135">
        <v>42</v>
      </c>
      <c r="U70" s="135"/>
      <c r="V70" s="135"/>
      <c r="W70" s="89">
        <f>P70-Q70-V70</f>
        <v>36</v>
      </c>
      <c r="X70" s="100"/>
      <c r="Y70" s="100"/>
      <c r="Z70" s="100"/>
      <c r="AA70" s="100"/>
      <c r="AB70" s="100"/>
      <c r="AC70" s="100"/>
      <c r="AD70" s="100"/>
      <c r="AE70" s="100"/>
      <c r="AF70" s="100">
        <v>6</v>
      </c>
      <c r="AG70" s="100"/>
    </row>
    <row r="71" spans="1:34" s="71" customFormat="1" ht="9.75" customHeight="1" outlineLevel="1">
      <c r="A71" s="2" t="str">
        <f>"ДС.07"</f>
        <v>ДС.07</v>
      </c>
      <c r="B71" s="210" t="s">
        <v>116</v>
      </c>
      <c r="C71" s="186"/>
      <c r="D71" s="186"/>
      <c r="E71" s="186"/>
      <c r="F71" s="186"/>
      <c r="G71" s="186"/>
      <c r="H71" s="186"/>
      <c r="I71" s="211"/>
      <c r="J71" s="118">
        <v>9</v>
      </c>
      <c r="K71" s="118"/>
      <c r="L71" s="118"/>
      <c r="M71" s="46"/>
      <c r="N71" s="210"/>
      <c r="O71" s="211"/>
      <c r="P71" s="140">
        <v>120</v>
      </c>
      <c r="Q71" s="8">
        <f t="shared" si="9"/>
        <v>84</v>
      </c>
      <c r="R71" s="135"/>
      <c r="S71" s="135">
        <v>84</v>
      </c>
      <c r="T71" s="135"/>
      <c r="U71" s="135"/>
      <c r="V71" s="135"/>
      <c r="W71" s="89">
        <f t="shared" si="1"/>
        <v>36</v>
      </c>
      <c r="X71" s="100"/>
      <c r="Y71" s="100"/>
      <c r="Z71" s="100"/>
      <c r="AA71" s="100"/>
      <c r="AB71" s="100"/>
      <c r="AC71" s="100"/>
      <c r="AD71" s="100"/>
      <c r="AE71" s="100"/>
      <c r="AF71" s="100">
        <v>6</v>
      </c>
      <c r="AG71" s="100"/>
      <c r="AH71" s="72"/>
    </row>
    <row r="72" spans="1:33" s="72" customFormat="1" ht="9.75" customHeight="1">
      <c r="A72" s="2" t="str">
        <f>"ДС.08"</f>
        <v>ДС.08</v>
      </c>
      <c r="B72" s="210" t="s">
        <v>117</v>
      </c>
      <c r="C72" s="186"/>
      <c r="D72" s="186"/>
      <c r="E72" s="186"/>
      <c r="F72" s="186"/>
      <c r="G72" s="186"/>
      <c r="H72" s="186"/>
      <c r="I72" s="211"/>
      <c r="J72" s="118"/>
      <c r="K72" s="118"/>
      <c r="L72" s="118"/>
      <c r="M72" s="54"/>
      <c r="N72" s="210"/>
      <c r="O72" s="211"/>
      <c r="P72" s="140"/>
      <c r="Q72" s="8"/>
      <c r="R72" s="135"/>
      <c r="S72" s="135"/>
      <c r="T72" s="135"/>
      <c r="U72" s="135"/>
      <c r="V72" s="135"/>
      <c r="W72" s="141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1:33" s="72" customFormat="1" ht="9.75" customHeight="1" outlineLevel="1">
      <c r="A73" s="102" t="s">
        <v>33</v>
      </c>
      <c r="B73" s="193" t="str">
        <f>"Дисциплины, устанавливаемые вузом "</f>
        <v>Дисциплины, устанавливаемые вузом </v>
      </c>
      <c r="C73" s="170"/>
      <c r="D73" s="170"/>
      <c r="E73" s="170"/>
      <c r="F73" s="170"/>
      <c r="G73" s="170"/>
      <c r="H73" s="170"/>
      <c r="I73" s="171"/>
      <c r="J73" s="128"/>
      <c r="K73" s="127" t="str">
        <f>"566888 99"</f>
        <v>566888 99</v>
      </c>
      <c r="L73" s="128">
        <v>89</v>
      </c>
      <c r="M73" s="54"/>
      <c r="N73" s="253"/>
      <c r="O73" s="254"/>
      <c r="P73" s="140">
        <v>552</v>
      </c>
      <c r="Q73" s="8">
        <f t="shared" si="9"/>
        <v>456</v>
      </c>
      <c r="R73" s="129">
        <v>246</v>
      </c>
      <c r="S73" s="129">
        <v>82</v>
      </c>
      <c r="T73" s="129">
        <v>128</v>
      </c>
      <c r="U73" s="129"/>
      <c r="V73" s="15">
        <v>12</v>
      </c>
      <c r="W73" s="89">
        <f t="shared" si="1"/>
        <v>84</v>
      </c>
      <c r="X73" s="102"/>
      <c r="Y73" s="102"/>
      <c r="Z73" s="102"/>
      <c r="AA73" s="102"/>
      <c r="AB73" s="102">
        <v>2</v>
      </c>
      <c r="AC73" s="102">
        <v>6</v>
      </c>
      <c r="AD73" s="102"/>
      <c r="AE73" s="102">
        <v>8</v>
      </c>
      <c r="AF73" s="2">
        <v>12</v>
      </c>
      <c r="AG73" s="102"/>
    </row>
    <row r="74" spans="1:33" s="72" customFormat="1" ht="9.75" customHeight="1" outlineLevel="1">
      <c r="A74" s="103" t="str">
        <f>"Ф.00"</f>
        <v>Ф.00</v>
      </c>
      <c r="B74" s="176" t="str">
        <f>"Факультативные дисциплины"</f>
        <v>Факультативные дисциплины</v>
      </c>
      <c r="C74" s="168"/>
      <c r="D74" s="168"/>
      <c r="E74" s="168"/>
      <c r="F74" s="168"/>
      <c r="G74" s="168"/>
      <c r="H74" s="168"/>
      <c r="I74" s="228"/>
      <c r="J74" s="128">
        <v>46</v>
      </c>
      <c r="K74" s="128">
        <v>35</v>
      </c>
      <c r="L74" s="110"/>
      <c r="M74" s="54"/>
      <c r="N74" s="253">
        <v>450</v>
      </c>
      <c r="O74" s="254"/>
      <c r="P74" s="140">
        <v>450</v>
      </c>
      <c r="Q74" s="8">
        <f>X74*$X$7+Y74*$Y$7+Z74*$Z$7+AA74*$AA$7+AB74*$AB$7+AC74*$AC$7+AD74*$AD$7++AE74*$AE$7++AF74*$AF$7++AG74*$AG$7</f>
        <v>450</v>
      </c>
      <c r="R74" s="129">
        <v>144</v>
      </c>
      <c r="S74" s="129"/>
      <c r="T74" s="129">
        <v>276</v>
      </c>
      <c r="U74" s="129">
        <v>30</v>
      </c>
      <c r="V74" s="129"/>
      <c r="W74" s="89"/>
      <c r="X74" s="102"/>
      <c r="Y74" s="102"/>
      <c r="Z74" s="102">
        <v>6</v>
      </c>
      <c r="AA74" s="102">
        <v>6</v>
      </c>
      <c r="AB74" s="102">
        <v>6</v>
      </c>
      <c r="AC74" s="102">
        <v>7</v>
      </c>
      <c r="AD74" s="102"/>
      <c r="AE74" s="102"/>
      <c r="AF74" s="142"/>
      <c r="AG74" s="102"/>
    </row>
    <row r="75" spans="1:33" s="72" customFormat="1" ht="9.75" customHeight="1" outlineLevel="1" thickBot="1">
      <c r="A75" s="102" t="str">
        <f>"Ф.01"</f>
        <v>Ф.01</v>
      </c>
      <c r="B75" s="229" t="str">
        <f>"Военная подготовка"</f>
        <v>Военная подготовка</v>
      </c>
      <c r="C75" s="230"/>
      <c r="D75" s="230"/>
      <c r="E75" s="230"/>
      <c r="F75" s="230"/>
      <c r="G75" s="230"/>
      <c r="H75" s="230"/>
      <c r="I75" s="231"/>
      <c r="J75" s="128">
        <v>46</v>
      </c>
      <c r="K75" s="128">
        <v>35</v>
      </c>
      <c r="L75" s="111"/>
      <c r="M75" s="54"/>
      <c r="N75" s="253">
        <v>450</v>
      </c>
      <c r="O75" s="254"/>
      <c r="P75" s="140">
        <v>450</v>
      </c>
      <c r="Q75" s="8">
        <f>X75*$X$7+Y75*$Y$7+Z75*$Z$7+AA75*$AA$7+AB75*$AB$7+AC75*$AC$7+AD75*$AD$7++AE75*$AE$7++AF75*$AF$7++AG75*$AG$7</f>
        <v>450</v>
      </c>
      <c r="R75" s="129">
        <v>144</v>
      </c>
      <c r="S75" s="129"/>
      <c r="T75" s="129">
        <v>276</v>
      </c>
      <c r="U75" s="129">
        <v>30</v>
      </c>
      <c r="V75" s="129"/>
      <c r="W75" s="89"/>
      <c r="X75" s="102"/>
      <c r="Y75" s="102"/>
      <c r="Z75" s="102">
        <v>6</v>
      </c>
      <c r="AA75" s="102">
        <v>6</v>
      </c>
      <c r="AB75" s="102">
        <v>6</v>
      </c>
      <c r="AC75" s="102">
        <v>7</v>
      </c>
      <c r="AD75" s="102"/>
      <c r="AE75" s="102"/>
      <c r="AF75" s="102"/>
      <c r="AG75" s="102"/>
    </row>
    <row r="76" spans="1:34" s="71" customFormat="1" ht="9.75" customHeight="1" thickBot="1" thickTop="1">
      <c r="A76" s="232" t="s">
        <v>76</v>
      </c>
      <c r="B76" s="232"/>
      <c r="C76" s="232"/>
      <c r="D76" s="232"/>
      <c r="E76" s="201" t="s">
        <v>80</v>
      </c>
      <c r="F76" s="194"/>
      <c r="G76" s="194"/>
      <c r="H76" s="194"/>
      <c r="I76" s="195"/>
      <c r="J76" s="69"/>
      <c r="K76" s="69"/>
      <c r="L76" s="69"/>
      <c r="M76" s="69"/>
      <c r="N76" s="250">
        <v>8532</v>
      </c>
      <c r="O76" s="252"/>
      <c r="P76" s="2">
        <f aca="true" t="shared" si="10" ref="P76:AF76">P75+P61+P46+P19+P10</f>
        <v>8532</v>
      </c>
      <c r="Q76" s="2">
        <f t="shared" si="10"/>
        <v>5316</v>
      </c>
      <c r="R76" s="2">
        <f t="shared" si="10"/>
        <v>2204</v>
      </c>
      <c r="S76" s="2">
        <f t="shared" si="10"/>
        <v>670</v>
      </c>
      <c r="T76" s="2">
        <f t="shared" si="10"/>
        <v>2250</v>
      </c>
      <c r="U76" s="2">
        <f t="shared" si="10"/>
        <v>192</v>
      </c>
      <c r="V76" s="2">
        <f t="shared" si="10"/>
        <v>24</v>
      </c>
      <c r="W76" s="2">
        <f t="shared" si="10"/>
        <v>3192</v>
      </c>
      <c r="X76" s="2">
        <f t="shared" si="10"/>
        <v>36</v>
      </c>
      <c r="Y76" s="2">
        <f t="shared" si="10"/>
        <v>36</v>
      </c>
      <c r="Z76" s="2">
        <f t="shared" si="10"/>
        <v>36</v>
      </c>
      <c r="AA76" s="2">
        <f t="shared" si="10"/>
        <v>36</v>
      </c>
      <c r="AB76" s="2">
        <f t="shared" si="10"/>
        <v>36</v>
      </c>
      <c r="AC76" s="2">
        <f t="shared" si="10"/>
        <v>36</v>
      </c>
      <c r="AD76" s="2">
        <f t="shared" si="10"/>
        <v>27</v>
      </c>
      <c r="AE76" s="2">
        <f t="shared" si="10"/>
        <v>34</v>
      </c>
      <c r="AF76" s="2">
        <f t="shared" si="10"/>
        <v>24</v>
      </c>
      <c r="AG76" s="143"/>
      <c r="AH76" s="72"/>
    </row>
    <row r="77" spans="1:34" s="72" customFormat="1" ht="21.75" customHeight="1" thickTop="1">
      <c r="A77" s="172" t="s">
        <v>77</v>
      </c>
      <c r="B77" s="172"/>
      <c r="C77" s="67" t="s">
        <v>78</v>
      </c>
      <c r="D77" s="67" t="s">
        <v>79</v>
      </c>
      <c r="E77" s="201" t="s">
        <v>81</v>
      </c>
      <c r="F77" s="194"/>
      <c r="G77" s="194"/>
      <c r="H77" s="194"/>
      <c r="I77" s="195"/>
      <c r="J77" s="69"/>
      <c r="K77" s="69"/>
      <c r="L77" s="69"/>
      <c r="M77" s="69"/>
      <c r="N77" s="201"/>
      <c r="O77" s="195"/>
      <c r="P77" s="46"/>
      <c r="Q77" s="239"/>
      <c r="R77" s="240"/>
      <c r="S77" s="240"/>
      <c r="T77" s="240"/>
      <c r="U77" s="240"/>
      <c r="V77" s="240"/>
      <c r="W77" s="241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71"/>
    </row>
    <row r="78" spans="1:34" s="71" customFormat="1" ht="9.75" customHeight="1">
      <c r="A78" s="196" t="s">
        <v>96</v>
      </c>
      <c r="B78" s="197"/>
      <c r="C78" s="87">
        <v>3</v>
      </c>
      <c r="D78" s="145">
        <v>108</v>
      </c>
      <c r="E78" s="201" t="s">
        <v>82</v>
      </c>
      <c r="F78" s="194"/>
      <c r="G78" s="194"/>
      <c r="H78" s="194"/>
      <c r="I78" s="195"/>
      <c r="J78" s="89">
        <f>Z78+AA78+AB78+AC78+AD78+AE78+AF78+X78+Y78</f>
        <v>3</v>
      </c>
      <c r="K78" s="69"/>
      <c r="L78" s="69"/>
      <c r="M78" s="69"/>
      <c r="N78" s="201"/>
      <c r="O78" s="195"/>
      <c r="P78" s="46"/>
      <c r="Q78" s="242"/>
      <c r="R78" s="243"/>
      <c r="S78" s="243"/>
      <c r="T78" s="243"/>
      <c r="U78" s="243"/>
      <c r="V78" s="243"/>
      <c r="W78" s="244"/>
      <c r="X78" s="8"/>
      <c r="Y78" s="8"/>
      <c r="Z78" s="8"/>
      <c r="AA78" s="8"/>
      <c r="AB78" s="8"/>
      <c r="AC78" s="8"/>
      <c r="AD78" s="8">
        <v>1</v>
      </c>
      <c r="AE78" s="8">
        <v>1</v>
      </c>
      <c r="AF78" s="8">
        <v>1</v>
      </c>
      <c r="AG78" s="46"/>
      <c r="AH78" s="72"/>
    </row>
    <row r="79" spans="1:34" s="71" customFormat="1" ht="9.75" customHeight="1">
      <c r="A79" s="196" t="s">
        <v>97</v>
      </c>
      <c r="B79" s="197"/>
      <c r="C79" s="87">
        <v>4</v>
      </c>
      <c r="D79" s="145">
        <v>126</v>
      </c>
      <c r="E79" s="201" t="s">
        <v>83</v>
      </c>
      <c r="F79" s="194"/>
      <c r="G79" s="194"/>
      <c r="H79" s="194"/>
      <c r="I79" s="195"/>
      <c r="J79" s="89">
        <f>Z79+AA79+AB79+AC79+AD79+AE79+AF79+X79+Y79</f>
        <v>34</v>
      </c>
      <c r="K79" s="69"/>
      <c r="L79" s="69"/>
      <c r="M79" s="69"/>
      <c r="N79" s="201"/>
      <c r="O79" s="195"/>
      <c r="P79" s="46"/>
      <c r="Q79" s="242"/>
      <c r="R79" s="243"/>
      <c r="S79" s="243"/>
      <c r="T79" s="243"/>
      <c r="U79" s="243"/>
      <c r="V79" s="243"/>
      <c r="W79" s="244"/>
      <c r="X79" s="8">
        <v>4</v>
      </c>
      <c r="Y79" s="8">
        <v>4</v>
      </c>
      <c r="Z79" s="8">
        <v>4</v>
      </c>
      <c r="AA79" s="8">
        <v>4</v>
      </c>
      <c r="AB79" s="8">
        <v>4</v>
      </c>
      <c r="AC79" s="8">
        <v>4</v>
      </c>
      <c r="AD79" s="8">
        <v>3</v>
      </c>
      <c r="AE79" s="8">
        <v>5</v>
      </c>
      <c r="AF79" s="8">
        <v>2</v>
      </c>
      <c r="AG79" s="46"/>
      <c r="AH79" s="72"/>
    </row>
    <row r="80" spans="1:34" s="71" customFormat="1" ht="9.75" customHeight="1">
      <c r="A80" s="196" t="s">
        <v>98</v>
      </c>
      <c r="B80" s="197"/>
      <c r="C80" s="87">
        <v>5</v>
      </c>
      <c r="D80" s="145">
        <v>108</v>
      </c>
      <c r="E80" s="201" t="s">
        <v>84</v>
      </c>
      <c r="F80" s="194"/>
      <c r="G80" s="194"/>
      <c r="H80" s="194"/>
      <c r="I80" s="195"/>
      <c r="J80" s="89">
        <f>Z80+AA80+AB80+AC80+AD80+AE80+AF80+X80+Y80</f>
        <v>46</v>
      </c>
      <c r="K80" s="69"/>
      <c r="L80" s="69"/>
      <c r="M80" s="69"/>
      <c r="N80" s="201"/>
      <c r="O80" s="195"/>
      <c r="P80" s="46"/>
      <c r="Q80" s="245"/>
      <c r="R80" s="246"/>
      <c r="S80" s="246"/>
      <c r="T80" s="246"/>
      <c r="U80" s="246"/>
      <c r="V80" s="246"/>
      <c r="W80" s="247"/>
      <c r="X80" s="8">
        <v>4</v>
      </c>
      <c r="Y80" s="8">
        <v>7</v>
      </c>
      <c r="Z80" s="8">
        <v>5</v>
      </c>
      <c r="AA80" s="8">
        <v>7</v>
      </c>
      <c r="AB80" s="8">
        <v>5</v>
      </c>
      <c r="AC80" s="8">
        <v>6</v>
      </c>
      <c r="AD80" s="8">
        <v>4</v>
      </c>
      <c r="AE80" s="8">
        <v>6</v>
      </c>
      <c r="AF80" s="8">
        <v>2</v>
      </c>
      <c r="AG80" s="46"/>
      <c r="AH80" s="72"/>
    </row>
    <row r="81" spans="1:34" s="71" customFormat="1" ht="9.75" customHeight="1">
      <c r="A81" s="196" t="s">
        <v>99</v>
      </c>
      <c r="B81" s="197"/>
      <c r="C81" s="87">
        <v>6</v>
      </c>
      <c r="D81" s="145">
        <v>108</v>
      </c>
      <c r="E81" s="201" t="s">
        <v>86</v>
      </c>
      <c r="F81" s="194"/>
      <c r="G81" s="195"/>
      <c r="H81" s="196" t="s">
        <v>93</v>
      </c>
      <c r="I81" s="276"/>
      <c r="J81" s="276"/>
      <c r="K81" s="276"/>
      <c r="L81" s="276"/>
      <c r="M81" s="197"/>
      <c r="N81" s="250" t="s">
        <v>88</v>
      </c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2"/>
      <c r="AH81" s="72"/>
    </row>
    <row r="82" spans="1:34" s="71" customFormat="1" ht="21.75" customHeight="1">
      <c r="A82" s="196"/>
      <c r="B82" s="197"/>
      <c r="C82" s="49"/>
      <c r="D82" s="49"/>
      <c r="E82" s="69" t="s">
        <v>85</v>
      </c>
      <c r="F82" s="67" t="s">
        <v>78</v>
      </c>
      <c r="G82" s="67" t="s">
        <v>87</v>
      </c>
      <c r="H82" s="201" t="s">
        <v>85</v>
      </c>
      <c r="I82" s="194"/>
      <c r="J82" s="194"/>
      <c r="K82" s="194"/>
      <c r="L82" s="194"/>
      <c r="M82" s="195"/>
      <c r="N82" s="67" t="s">
        <v>78</v>
      </c>
      <c r="O82" s="67" t="s">
        <v>87</v>
      </c>
      <c r="P82" s="46" t="s">
        <v>89</v>
      </c>
      <c r="Q82" s="196" t="s">
        <v>118</v>
      </c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197"/>
      <c r="AH82" s="72"/>
    </row>
    <row r="83" spans="1:34" s="71" customFormat="1" ht="9.75" customHeight="1">
      <c r="A83" s="196"/>
      <c r="B83" s="197"/>
      <c r="C83" s="49"/>
      <c r="D83" s="49"/>
      <c r="E83" s="49" t="s">
        <v>121</v>
      </c>
      <c r="F83" s="8">
        <v>2</v>
      </c>
      <c r="G83" s="144">
        <v>1</v>
      </c>
      <c r="H83" s="201" t="s">
        <v>120</v>
      </c>
      <c r="I83" s="194"/>
      <c r="J83" s="194"/>
      <c r="K83" s="194"/>
      <c r="L83" s="194"/>
      <c r="M83" s="195"/>
      <c r="N83" s="46">
        <v>9</v>
      </c>
      <c r="O83" s="46">
        <v>6</v>
      </c>
      <c r="P83" s="46"/>
      <c r="Q83" s="250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2"/>
      <c r="AH83" s="72"/>
    </row>
    <row r="84" spans="1:34" s="71" customFormat="1" ht="9.75" customHeight="1">
      <c r="A84" s="196"/>
      <c r="B84" s="197"/>
      <c r="C84" s="49"/>
      <c r="D84" s="49"/>
      <c r="E84" s="49" t="s">
        <v>119</v>
      </c>
      <c r="F84" s="8">
        <v>4</v>
      </c>
      <c r="G84" s="144">
        <v>1</v>
      </c>
      <c r="H84" s="201"/>
      <c r="I84" s="194"/>
      <c r="J84" s="194"/>
      <c r="K84" s="194"/>
      <c r="L84" s="194"/>
      <c r="M84" s="195"/>
      <c r="N84" s="56"/>
      <c r="O84" s="56"/>
      <c r="P84" s="46" t="s">
        <v>90</v>
      </c>
      <c r="Q84" s="227" t="s">
        <v>100</v>
      </c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72"/>
    </row>
    <row r="85" spans="1:34" s="71" customFormat="1" ht="9.75" customHeight="1">
      <c r="A85" s="196"/>
      <c r="B85" s="197"/>
      <c r="C85" s="49"/>
      <c r="D85" s="49"/>
      <c r="E85" s="49"/>
      <c r="F85" s="8">
        <v>6</v>
      </c>
      <c r="G85" s="144">
        <v>2</v>
      </c>
      <c r="H85" s="201"/>
      <c r="I85" s="194"/>
      <c r="J85" s="194"/>
      <c r="K85" s="194"/>
      <c r="L85" s="194"/>
      <c r="M85" s="195"/>
      <c r="N85" s="56"/>
      <c r="O85" s="56"/>
      <c r="P85" s="46"/>
      <c r="Q85" s="250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/>
      <c r="AH85" s="72"/>
    </row>
    <row r="86" spans="1:34" s="71" customFormat="1" ht="9.75" customHeight="1">
      <c r="A86" s="196"/>
      <c r="B86" s="197"/>
      <c r="C86" s="49"/>
      <c r="D86" s="49"/>
      <c r="E86" s="49"/>
      <c r="F86" s="8">
        <v>8</v>
      </c>
      <c r="G86" s="144">
        <v>2</v>
      </c>
      <c r="H86" s="201"/>
      <c r="I86" s="194"/>
      <c r="J86" s="194"/>
      <c r="K86" s="194"/>
      <c r="L86" s="194"/>
      <c r="M86" s="195"/>
      <c r="N86" s="56"/>
      <c r="O86" s="56"/>
      <c r="P86" s="46" t="s">
        <v>91</v>
      </c>
      <c r="Q86" s="250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2"/>
      <c r="AH86" s="72"/>
    </row>
    <row r="87" spans="1:34" s="71" customFormat="1" ht="9.75" customHeight="1">
      <c r="A87" s="196"/>
      <c r="B87" s="197"/>
      <c r="C87" s="49"/>
      <c r="D87" s="49"/>
      <c r="E87" s="49"/>
      <c r="F87" s="49"/>
      <c r="G87" s="49"/>
      <c r="H87" s="201"/>
      <c r="I87" s="194"/>
      <c r="J87" s="194"/>
      <c r="K87" s="194"/>
      <c r="L87" s="194"/>
      <c r="M87" s="195"/>
      <c r="N87" s="56"/>
      <c r="O87" s="56"/>
      <c r="P87" s="46"/>
      <c r="Q87" s="250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/>
      <c r="AH87" s="72"/>
    </row>
    <row r="88" spans="1:34" s="71" customFormat="1" ht="9.75" customHeight="1">
      <c r="A88" s="60"/>
      <c r="B88" s="51"/>
      <c r="C88" s="49"/>
      <c r="D88" s="49"/>
      <c r="E88" s="49"/>
      <c r="F88" s="49"/>
      <c r="G88" s="49"/>
      <c r="H88" s="64"/>
      <c r="I88" s="65"/>
      <c r="J88" s="65"/>
      <c r="K88" s="65"/>
      <c r="L88" s="65"/>
      <c r="M88" s="66"/>
      <c r="N88" s="56"/>
      <c r="O88" s="56"/>
      <c r="P88" s="46" t="s">
        <v>92</v>
      </c>
      <c r="Q88" s="58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7"/>
      <c r="AH88" s="72"/>
    </row>
    <row r="89" spans="1:34" s="45" customFormat="1" ht="9.75" customHeight="1">
      <c r="A89" s="226"/>
      <c r="B89" s="226"/>
      <c r="C89" s="71"/>
      <c r="D89" s="71"/>
      <c r="E89" s="71"/>
      <c r="F89" s="71"/>
      <c r="G89" s="71"/>
      <c r="H89" s="277"/>
      <c r="I89" s="277"/>
      <c r="J89" s="277"/>
      <c r="K89" s="277"/>
      <c r="L89" s="277"/>
      <c r="M89" s="277"/>
      <c r="N89" s="62"/>
      <c r="O89" s="62"/>
      <c r="P89" s="6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72"/>
    </row>
    <row r="90" spans="8:34" s="71" customFormat="1" ht="9.75" customHeight="1">
      <c r="H90" s="74"/>
      <c r="I90" s="74"/>
      <c r="J90" s="74"/>
      <c r="K90" s="74"/>
      <c r="L90" s="74"/>
      <c r="M90" s="74"/>
      <c r="N90" s="62"/>
      <c r="O90" s="62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72"/>
    </row>
    <row r="91" spans="1:34" s="71" customFormat="1" ht="12">
      <c r="A91" s="248" t="s">
        <v>34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78" t="s">
        <v>35</v>
      </c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73"/>
    </row>
    <row r="92" spans="1:34" s="71" customFormat="1" ht="12" customHeight="1">
      <c r="A92" s="73"/>
      <c r="B92" s="73"/>
      <c r="C92" s="73"/>
      <c r="D92" s="73"/>
      <c r="E92" s="73" t="s">
        <v>95</v>
      </c>
      <c r="F92" s="248" t="s">
        <v>94</v>
      </c>
      <c r="G92" s="248"/>
      <c r="H92" s="248"/>
      <c r="I92" s="73"/>
      <c r="J92" s="73"/>
      <c r="K92" s="73"/>
      <c r="L92" s="73"/>
      <c r="M92" s="249"/>
      <c r="N92" s="249"/>
      <c r="O92" s="249"/>
      <c r="P92" s="249"/>
      <c r="Q92" s="249"/>
      <c r="R92" s="249"/>
      <c r="S92" s="249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73"/>
    </row>
    <row r="93" spans="1:33" s="73" customFormat="1" ht="12">
      <c r="A93" s="248" t="s">
        <v>126</v>
      </c>
      <c r="B93" s="248"/>
      <c r="C93" s="248"/>
      <c r="D93" s="248"/>
      <c r="E93" s="248"/>
      <c r="F93" s="248"/>
      <c r="G93" s="248"/>
      <c r="H93" s="248"/>
      <c r="M93" s="249" t="s">
        <v>36</v>
      </c>
      <c r="N93" s="249"/>
      <c r="O93" s="249"/>
      <c r="P93" s="249"/>
      <c r="Q93" s="249"/>
      <c r="R93" s="249"/>
      <c r="S93" s="249"/>
      <c r="T93" s="248" t="s">
        <v>37</v>
      </c>
      <c r="U93" s="248"/>
      <c r="V93" s="248"/>
      <c r="W93" s="248"/>
      <c r="X93" s="249" t="s">
        <v>38</v>
      </c>
      <c r="Y93" s="249"/>
      <c r="Z93" s="249"/>
      <c r="AA93" s="249"/>
      <c r="AB93" s="249"/>
      <c r="AC93" s="249"/>
      <c r="AD93" s="249"/>
      <c r="AE93" s="249"/>
      <c r="AF93" s="249"/>
      <c r="AG93" s="249"/>
    </row>
    <row r="94" spans="5:33" s="73" customFormat="1" ht="12" customHeight="1">
      <c r="E94" s="73" t="s">
        <v>95</v>
      </c>
      <c r="F94" s="248" t="s">
        <v>94</v>
      </c>
      <c r="G94" s="248"/>
      <c r="H94" s="248"/>
      <c r="M94" s="248" t="s">
        <v>39</v>
      </c>
      <c r="N94" s="248"/>
      <c r="O94" s="248"/>
      <c r="P94" s="248"/>
      <c r="Q94" s="248"/>
      <c r="R94" s="248"/>
      <c r="S94" s="248"/>
      <c r="T94" s="248" t="s">
        <v>40</v>
      </c>
      <c r="U94" s="248"/>
      <c r="V94" s="248"/>
      <c r="W94" s="248"/>
      <c r="X94" s="248" t="s">
        <v>41</v>
      </c>
      <c r="Y94" s="248"/>
      <c r="Z94" s="248"/>
      <c r="AA94" s="248"/>
      <c r="AB94" s="248"/>
      <c r="AC94" s="248"/>
      <c r="AD94" s="248"/>
      <c r="AE94" s="248"/>
      <c r="AF94" s="248"/>
      <c r="AG94" s="248"/>
    </row>
    <row r="95" spans="13:33" s="73" customFormat="1" ht="12" customHeight="1">
      <c r="M95" s="249" t="s">
        <v>42</v>
      </c>
      <c r="N95" s="249"/>
      <c r="O95" s="249"/>
      <c r="P95" s="249"/>
      <c r="Q95" s="249"/>
      <c r="R95" s="249"/>
      <c r="S95" s="249"/>
      <c r="T95" s="248" t="s">
        <v>37</v>
      </c>
      <c r="U95" s="248"/>
      <c r="V95" s="248"/>
      <c r="W95" s="248"/>
      <c r="X95" s="249" t="s">
        <v>43</v>
      </c>
      <c r="Y95" s="249"/>
      <c r="Z95" s="249"/>
      <c r="AA95" s="249"/>
      <c r="AB95" s="249"/>
      <c r="AC95" s="249"/>
      <c r="AD95" s="249"/>
      <c r="AE95" s="249"/>
      <c r="AF95" s="249"/>
      <c r="AG95" s="249"/>
    </row>
    <row r="96" spans="13:33" s="73" customFormat="1" ht="12" customHeight="1">
      <c r="M96" s="248" t="s">
        <v>39</v>
      </c>
      <c r="N96" s="248"/>
      <c r="O96" s="248"/>
      <c r="P96" s="248"/>
      <c r="Q96" s="248"/>
      <c r="R96" s="248"/>
      <c r="S96" s="248"/>
      <c r="T96" s="248" t="s">
        <v>40</v>
      </c>
      <c r="U96" s="248"/>
      <c r="V96" s="248"/>
      <c r="W96" s="248"/>
      <c r="X96" s="248" t="s">
        <v>41</v>
      </c>
      <c r="Y96" s="248"/>
      <c r="Z96" s="248"/>
      <c r="AA96" s="248"/>
      <c r="AB96" s="248"/>
      <c r="AC96" s="248"/>
      <c r="AD96" s="248"/>
      <c r="AE96" s="248"/>
      <c r="AF96" s="248"/>
      <c r="AG96" s="248"/>
    </row>
    <row r="97" spans="13:33" s="73" customFormat="1" ht="12" customHeight="1">
      <c r="M97" s="249" t="s">
        <v>44</v>
      </c>
      <c r="N97" s="249"/>
      <c r="O97" s="249"/>
      <c r="P97" s="249"/>
      <c r="Q97" s="249"/>
      <c r="R97" s="249"/>
      <c r="S97" s="249"/>
      <c r="T97" s="248" t="s">
        <v>37</v>
      </c>
      <c r="U97" s="248"/>
      <c r="V97" s="248"/>
      <c r="W97" s="248"/>
      <c r="X97" s="249" t="s">
        <v>45</v>
      </c>
      <c r="Y97" s="249"/>
      <c r="Z97" s="249"/>
      <c r="AA97" s="249"/>
      <c r="AB97" s="249"/>
      <c r="AC97" s="249"/>
      <c r="AD97" s="249"/>
      <c r="AE97" s="249"/>
      <c r="AF97" s="249"/>
      <c r="AG97" s="249"/>
    </row>
    <row r="98" spans="13:33" s="73" customFormat="1" ht="12" customHeight="1">
      <c r="M98" s="248" t="s">
        <v>39</v>
      </c>
      <c r="N98" s="248"/>
      <c r="O98" s="248"/>
      <c r="P98" s="248"/>
      <c r="Q98" s="248"/>
      <c r="R98" s="248"/>
      <c r="S98" s="248"/>
      <c r="T98" s="248" t="s">
        <v>40</v>
      </c>
      <c r="U98" s="248"/>
      <c r="V98" s="248"/>
      <c r="W98" s="248"/>
      <c r="X98" s="248" t="s">
        <v>41</v>
      </c>
      <c r="Y98" s="248"/>
      <c r="Z98" s="248"/>
      <c r="AA98" s="248"/>
      <c r="AB98" s="248"/>
      <c r="AC98" s="248"/>
      <c r="AD98" s="248"/>
      <c r="AE98" s="248"/>
      <c r="AF98" s="248"/>
      <c r="AG98" s="248"/>
    </row>
    <row r="99" spans="13:33" s="73" customFormat="1" ht="12" customHeight="1">
      <c r="M99" s="249" t="s">
        <v>46</v>
      </c>
      <c r="N99" s="249"/>
      <c r="O99" s="249"/>
      <c r="P99" s="249"/>
      <c r="Q99" s="249"/>
      <c r="R99" s="249"/>
      <c r="S99" s="249"/>
      <c r="T99" s="248" t="s">
        <v>37</v>
      </c>
      <c r="U99" s="248"/>
      <c r="V99" s="248"/>
      <c r="W99" s="248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</row>
    <row r="100" spans="13:33" s="73" customFormat="1" ht="12" customHeight="1">
      <c r="M100" s="248" t="s">
        <v>39</v>
      </c>
      <c r="N100" s="248"/>
      <c r="O100" s="248"/>
      <c r="P100" s="248"/>
      <c r="Q100" s="248"/>
      <c r="R100" s="248"/>
      <c r="S100" s="248"/>
      <c r="T100" s="248" t="s">
        <v>40</v>
      </c>
      <c r="U100" s="248"/>
      <c r="V100" s="248"/>
      <c r="W100" s="248"/>
      <c r="X100" s="248" t="s">
        <v>41</v>
      </c>
      <c r="Y100" s="248"/>
      <c r="Z100" s="248"/>
      <c r="AA100" s="248"/>
      <c r="AB100" s="248"/>
      <c r="AC100" s="248"/>
      <c r="AD100" s="248"/>
      <c r="AE100" s="248"/>
      <c r="AF100" s="248"/>
      <c r="AG100" s="248"/>
    </row>
    <row r="101" spans="13:33" s="73" customFormat="1" ht="12" customHeight="1">
      <c r="M101" s="249" t="s">
        <v>47</v>
      </c>
      <c r="N101" s="249"/>
      <c r="O101" s="249"/>
      <c r="P101" s="249"/>
      <c r="Q101" s="249"/>
      <c r="R101" s="249"/>
      <c r="S101" s="249"/>
      <c r="T101" s="248" t="s">
        <v>37</v>
      </c>
      <c r="U101" s="248"/>
      <c r="V101" s="248"/>
      <c r="W101" s="248"/>
      <c r="X101" s="249" t="s">
        <v>48</v>
      </c>
      <c r="Y101" s="249"/>
      <c r="Z101" s="249"/>
      <c r="AA101" s="249"/>
      <c r="AB101" s="249"/>
      <c r="AC101" s="249"/>
      <c r="AD101" s="249"/>
      <c r="AE101" s="249"/>
      <c r="AF101" s="249"/>
      <c r="AG101" s="249"/>
    </row>
    <row r="102" spans="13:33" s="73" customFormat="1" ht="12" customHeight="1">
      <c r="M102" s="248" t="s">
        <v>39</v>
      </c>
      <c r="N102" s="248"/>
      <c r="O102" s="248"/>
      <c r="P102" s="248"/>
      <c r="Q102" s="248"/>
      <c r="R102" s="248"/>
      <c r="S102" s="248"/>
      <c r="T102" s="248" t="s">
        <v>40</v>
      </c>
      <c r="U102" s="248"/>
      <c r="V102" s="248"/>
      <c r="W102" s="248"/>
      <c r="X102" s="248" t="s">
        <v>41</v>
      </c>
      <c r="Y102" s="248"/>
      <c r="Z102" s="248"/>
      <c r="AA102" s="248"/>
      <c r="AB102" s="248"/>
      <c r="AC102" s="248"/>
      <c r="AD102" s="248"/>
      <c r="AE102" s="248"/>
      <c r="AF102" s="248"/>
      <c r="AG102" s="248"/>
    </row>
    <row r="103" s="73" customFormat="1" ht="12"/>
    <row r="104" s="73" customFormat="1" ht="12"/>
    <row r="105" s="73" customFormat="1" ht="12"/>
    <row r="106" s="73" customFormat="1" ht="12"/>
  </sheetData>
  <mergeCells count="255">
    <mergeCell ref="X94:AG94"/>
    <mergeCell ref="X95:AG95"/>
    <mergeCell ref="A93:H93"/>
    <mergeCell ref="F92:H92"/>
    <mergeCell ref="M92:S92"/>
    <mergeCell ref="M93:S93"/>
    <mergeCell ref="T92:W92"/>
    <mergeCell ref="X92:AG92"/>
    <mergeCell ref="X93:AG93"/>
    <mergeCell ref="F94:H94"/>
    <mergeCell ref="X96:AG96"/>
    <mergeCell ref="X102:AG102"/>
    <mergeCell ref="X97:AG97"/>
    <mergeCell ref="X98:AG98"/>
    <mergeCell ref="X99:AG99"/>
    <mergeCell ref="X101:AG101"/>
    <mergeCell ref="X100:AG100"/>
    <mergeCell ref="M97:S97"/>
    <mergeCell ref="M98:S98"/>
    <mergeCell ref="M99:S99"/>
    <mergeCell ref="T96:W96"/>
    <mergeCell ref="T97:W97"/>
    <mergeCell ref="T98:W98"/>
    <mergeCell ref="T99:W99"/>
    <mergeCell ref="M91:AG91"/>
    <mergeCell ref="I91:L91"/>
    <mergeCell ref="Q82:AG82"/>
    <mergeCell ref="M102:S102"/>
    <mergeCell ref="M101:S101"/>
    <mergeCell ref="M100:S100"/>
    <mergeCell ref="T100:W100"/>
    <mergeCell ref="T101:W101"/>
    <mergeCell ref="T102:W102"/>
    <mergeCell ref="M96:S96"/>
    <mergeCell ref="N81:AG81"/>
    <mergeCell ref="A91:H91"/>
    <mergeCell ref="H81:M81"/>
    <mergeCell ref="H82:M82"/>
    <mergeCell ref="H83:M83"/>
    <mergeCell ref="H84:M84"/>
    <mergeCell ref="Q86:AG86"/>
    <mergeCell ref="E81:G81"/>
    <mergeCell ref="A82:B82"/>
    <mergeCell ref="H89:M89"/>
    <mergeCell ref="B2:I9"/>
    <mergeCell ref="B10:I10"/>
    <mergeCell ref="B17:I17"/>
    <mergeCell ref="B18:I18"/>
    <mergeCell ref="B11:I11"/>
    <mergeCell ref="B12:I12"/>
    <mergeCell ref="B13:I13"/>
    <mergeCell ref="B14:I14"/>
    <mergeCell ref="B15:I15"/>
    <mergeCell ref="B16:I16"/>
    <mergeCell ref="N78:O78"/>
    <mergeCell ref="N79:O79"/>
    <mergeCell ref="B19:I19"/>
    <mergeCell ref="B20:I20"/>
    <mergeCell ref="B21:I21"/>
    <mergeCell ref="B22:I22"/>
    <mergeCell ref="B40:I40"/>
    <mergeCell ref="B41:I41"/>
    <mergeCell ref="B42:I42"/>
    <mergeCell ref="B43:I43"/>
    <mergeCell ref="N15:O15"/>
    <mergeCell ref="N16:O16"/>
    <mergeCell ref="B23:I23"/>
    <mergeCell ref="N77:O77"/>
    <mergeCell ref="B45:I45"/>
    <mergeCell ref="B46:I46"/>
    <mergeCell ref="B47:I47"/>
    <mergeCell ref="B48:I48"/>
    <mergeCell ref="N71:O71"/>
    <mergeCell ref="N72:O72"/>
    <mergeCell ref="N63:O63"/>
    <mergeCell ref="N73:O73"/>
    <mergeCell ref="N76:O76"/>
    <mergeCell ref="N64:O64"/>
    <mergeCell ref="N65:O65"/>
    <mergeCell ref="N66:O66"/>
    <mergeCell ref="N67:O67"/>
    <mergeCell ref="N75:O75"/>
    <mergeCell ref="N74:O7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0:O30"/>
    <mergeCell ref="N31:O31"/>
    <mergeCell ref="N32:O32"/>
    <mergeCell ref="N33:O33"/>
    <mergeCell ref="E80:I80"/>
    <mergeCell ref="B36:I36"/>
    <mergeCell ref="B37:I37"/>
    <mergeCell ref="B38:I38"/>
    <mergeCell ref="B39:I39"/>
    <mergeCell ref="B50:I50"/>
    <mergeCell ref="B51:I51"/>
    <mergeCell ref="B52:I52"/>
    <mergeCell ref="B53:I53"/>
    <mergeCell ref="B56:I56"/>
    <mergeCell ref="N80:O80"/>
    <mergeCell ref="B32:I32"/>
    <mergeCell ref="B33:I33"/>
    <mergeCell ref="B34:I34"/>
    <mergeCell ref="B35:I35"/>
    <mergeCell ref="N34:O34"/>
    <mergeCell ref="N35:O35"/>
    <mergeCell ref="N36:O36"/>
    <mergeCell ref="B65:I65"/>
    <mergeCell ref="B66:I66"/>
    <mergeCell ref="Q77:W80"/>
    <mergeCell ref="T95:W95"/>
    <mergeCell ref="T93:W93"/>
    <mergeCell ref="T94:W94"/>
    <mergeCell ref="M94:S94"/>
    <mergeCell ref="M95:S95"/>
    <mergeCell ref="Q83:AG83"/>
    <mergeCell ref="Q85:AG85"/>
    <mergeCell ref="Q87:AG87"/>
    <mergeCell ref="Q89:AG89"/>
    <mergeCell ref="A76:D76"/>
    <mergeCell ref="E76:I76"/>
    <mergeCell ref="B57:I57"/>
    <mergeCell ref="B58:I58"/>
    <mergeCell ref="B69:I69"/>
    <mergeCell ref="B70:I70"/>
    <mergeCell ref="B59:I59"/>
    <mergeCell ref="B60:I60"/>
    <mergeCell ref="B61:I61"/>
    <mergeCell ref="B31:I31"/>
    <mergeCell ref="A79:B79"/>
    <mergeCell ref="A77:B77"/>
    <mergeCell ref="A78:B78"/>
    <mergeCell ref="B44:I44"/>
    <mergeCell ref="B74:I74"/>
    <mergeCell ref="B75:I75"/>
    <mergeCell ref="B67:I67"/>
    <mergeCell ref="B54:I54"/>
    <mergeCell ref="B55:I55"/>
    <mergeCell ref="A80:B80"/>
    <mergeCell ref="A81:B81"/>
    <mergeCell ref="B73:I73"/>
    <mergeCell ref="B63:I63"/>
    <mergeCell ref="B64:I64"/>
    <mergeCell ref="B71:I71"/>
    <mergeCell ref="B72:I72"/>
    <mergeCell ref="E77:I77"/>
    <mergeCell ref="E78:I78"/>
    <mergeCell ref="E79:I79"/>
    <mergeCell ref="AF7:AF8"/>
    <mergeCell ref="A83:B83"/>
    <mergeCell ref="B49:I49"/>
    <mergeCell ref="B24:I24"/>
    <mergeCell ref="B25:I25"/>
    <mergeCell ref="B26:I26"/>
    <mergeCell ref="B27:I27"/>
    <mergeCell ref="B28:I28"/>
    <mergeCell ref="B29:I29"/>
    <mergeCell ref="B30:I30"/>
    <mergeCell ref="AE4:AE5"/>
    <mergeCell ref="AD4:AD5"/>
    <mergeCell ref="AC4:AC5"/>
    <mergeCell ref="AB4:AB5"/>
    <mergeCell ref="AA4:AA5"/>
    <mergeCell ref="Z4:Z5"/>
    <mergeCell ref="Y4:Y5"/>
    <mergeCell ref="X4:X5"/>
    <mergeCell ref="AD7:AD8"/>
    <mergeCell ref="J2:M4"/>
    <mergeCell ref="J5:J9"/>
    <mergeCell ref="K5:K9"/>
    <mergeCell ref="L5:L9"/>
    <mergeCell ref="M5:M9"/>
    <mergeCell ref="T5:T9"/>
    <mergeCell ref="U5:U9"/>
    <mergeCell ref="Y7:Y8"/>
    <mergeCell ref="X9:AG9"/>
    <mergeCell ref="X7:X8"/>
    <mergeCell ref="AF4:AF5"/>
    <mergeCell ref="AG4:AG5"/>
    <mergeCell ref="X6:AG6"/>
    <mergeCell ref="AC7:AC8"/>
    <mergeCell ref="AB7:AB8"/>
    <mergeCell ref="AA7:AA8"/>
    <mergeCell ref="Z7:Z8"/>
    <mergeCell ref="AE7:AE8"/>
    <mergeCell ref="AG7:AG8"/>
    <mergeCell ref="P4:P9"/>
    <mergeCell ref="P3:W3"/>
    <mergeCell ref="N2:W2"/>
    <mergeCell ref="N3:O9"/>
    <mergeCell ref="Q4:U4"/>
    <mergeCell ref="V4:V9"/>
    <mergeCell ref="S5:S9"/>
    <mergeCell ref="R5:R9"/>
    <mergeCell ref="Q5:Q9"/>
    <mergeCell ref="W4:W9"/>
    <mergeCell ref="A89:B89"/>
    <mergeCell ref="Q84:AG84"/>
    <mergeCell ref="H86:M86"/>
    <mergeCell ref="H87:M87"/>
    <mergeCell ref="A84:B84"/>
    <mergeCell ref="A85:B85"/>
    <mergeCell ref="A86:B86"/>
    <mergeCell ref="A87:B87"/>
    <mergeCell ref="H85:M85"/>
    <mergeCell ref="AH3:AI3"/>
    <mergeCell ref="A1:AG1"/>
    <mergeCell ref="N17:O17"/>
    <mergeCell ref="X2:AG2"/>
    <mergeCell ref="X3:Y3"/>
    <mergeCell ref="Z3:AA3"/>
    <mergeCell ref="AB3:AC3"/>
    <mergeCell ref="AD3:AE3"/>
    <mergeCell ref="AF3:AG3"/>
    <mergeCell ref="A2:A9"/>
    <mergeCell ref="N14:O14"/>
    <mergeCell ref="N61:O61"/>
    <mergeCell ref="N18:O18"/>
    <mergeCell ref="N19:O19"/>
    <mergeCell ref="N20:O20"/>
    <mergeCell ref="N21:O21"/>
    <mergeCell ref="N26:O26"/>
    <mergeCell ref="N27:O27"/>
    <mergeCell ref="N28:O28"/>
    <mergeCell ref="N29:O29"/>
    <mergeCell ref="N10:O10"/>
    <mergeCell ref="N11:O11"/>
    <mergeCell ref="N12:O12"/>
    <mergeCell ref="N13:O13"/>
    <mergeCell ref="N22:O22"/>
    <mergeCell ref="N23:O23"/>
    <mergeCell ref="N24:O24"/>
    <mergeCell ref="N25:O25"/>
  </mergeCells>
  <printOptions/>
  <pageMargins left="0" right="0" top="0.3937007874015748" bottom="0.5905511811023623" header="0.31496062992125984" footer="0.5118110236220472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0"/>
  <sheetViews>
    <sheetView zoomScale="90" zoomScaleNormal="90" workbookViewId="0" topLeftCell="C10">
      <selection activeCell="D39" sqref="D39"/>
    </sheetView>
  </sheetViews>
  <sheetFormatPr defaultColWidth="9.00390625" defaultRowHeight="12.75" outlineLevelRow="1"/>
  <cols>
    <col min="1" max="1" width="10.125" style="0" customWidth="1"/>
    <col min="2" max="2" width="58.125" style="4" customWidth="1"/>
    <col min="3" max="3" width="5.375" style="0" customWidth="1"/>
    <col min="4" max="4" width="7.125" style="0" customWidth="1"/>
    <col min="5" max="5" width="4.75390625" style="0" customWidth="1"/>
    <col min="6" max="6" width="5.00390625" style="0" customWidth="1"/>
    <col min="7" max="7" width="6.875" style="0" customWidth="1"/>
    <col min="8" max="8" width="4.875" style="0" customWidth="1"/>
    <col min="9" max="9" width="4.75390625" style="0" customWidth="1"/>
    <col min="10" max="10" width="4.875" style="0" customWidth="1"/>
    <col min="11" max="11" width="5.25390625" style="0" customWidth="1"/>
    <col min="12" max="12" width="4.625" style="0" customWidth="1"/>
    <col min="13" max="13" width="4.125" style="0" customWidth="1"/>
    <col min="14" max="14" width="3.375" style="0" customWidth="1"/>
    <col min="15" max="15" width="4.00390625" style="0" customWidth="1"/>
    <col min="16" max="25" width="2.75390625" style="0" customWidth="1"/>
  </cols>
  <sheetData>
    <row r="1" spans="1:25" ht="18">
      <c r="A1" s="279" t="s">
        <v>102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s="5" customFormat="1" ht="20.25" customHeight="1">
      <c r="A2" s="279" t="str">
        <f>"ПРИЛОЖЕНИЕ К  РАБОЧЕМУ УЧЕБНОМУ ПЛАНУ"</f>
        <v>ПРИЛОЖЕНИЕ К  РАБОЧЕМУ УЧЕБНОМУ ПЛАНУ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s="5" customFormat="1" ht="20.25" customHeight="1">
      <c r="A3" s="279" t="s">
        <v>135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25" ht="10.5" customHeight="1" thickBo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</row>
    <row r="5" spans="1:25" s="3" customFormat="1" ht="12" customHeight="1">
      <c r="A5" s="177" t="s">
        <v>67</v>
      </c>
      <c r="B5" s="292" t="str">
        <f>"НАИМЕНОВАНИЕ ДИСЦИПЛИН"</f>
        <v>НАИМЕНОВАНИЕ ДИСЦИПЛИН</v>
      </c>
      <c r="C5" s="284" t="s">
        <v>101</v>
      </c>
      <c r="D5" s="285"/>
      <c r="E5" s="285"/>
      <c r="F5" s="286"/>
      <c r="G5" s="289" t="str">
        <f>"ОБЪЕМ В ЧАСАХ"</f>
        <v>ОБЪЕМ В ЧАСАХ</v>
      </c>
      <c r="H5" s="290"/>
      <c r="I5" s="290"/>
      <c r="J5" s="290"/>
      <c r="K5" s="290"/>
      <c r="L5" s="290"/>
      <c r="M5" s="290"/>
      <c r="N5" s="290"/>
      <c r="O5" s="291"/>
      <c r="P5" s="296" t="str">
        <f>"Распред. по курсам и семестрам"</f>
        <v>Распред. по курсам и семестрам</v>
      </c>
      <c r="Q5" s="297"/>
      <c r="R5" s="297"/>
      <c r="S5" s="297"/>
      <c r="T5" s="297"/>
      <c r="U5" s="297"/>
      <c r="V5" s="297"/>
      <c r="W5" s="297"/>
      <c r="X5" s="297"/>
      <c r="Y5" s="298"/>
    </row>
    <row r="6" spans="1:25" s="3" customFormat="1" ht="12" customHeight="1">
      <c r="A6" s="177"/>
      <c r="B6" s="293"/>
      <c r="C6" s="287"/>
      <c r="D6" s="288"/>
      <c r="E6" s="288"/>
      <c r="F6" s="288"/>
      <c r="G6" s="281" t="str">
        <f>"Всего по госстандарту"</f>
        <v>Всего по госстандарту</v>
      </c>
      <c r="H6" s="225" t="s">
        <v>68</v>
      </c>
      <c r="I6" s="225"/>
      <c r="J6" s="225"/>
      <c r="K6" s="225"/>
      <c r="L6" s="225"/>
      <c r="M6" s="225"/>
      <c r="N6" s="225"/>
      <c r="O6" s="295"/>
      <c r="P6" s="299" t="s">
        <v>69</v>
      </c>
      <c r="Q6" s="225"/>
      <c r="R6" s="225" t="s">
        <v>70</v>
      </c>
      <c r="S6" s="225"/>
      <c r="T6" s="225" t="s">
        <v>71</v>
      </c>
      <c r="U6" s="225"/>
      <c r="V6" s="225" t="s">
        <v>72</v>
      </c>
      <c r="W6" s="225"/>
      <c r="X6" s="225" t="s">
        <v>73</v>
      </c>
      <c r="Y6" s="295"/>
    </row>
    <row r="7" spans="1:25" s="3" customFormat="1" ht="31.5" customHeight="1">
      <c r="A7" s="177"/>
      <c r="B7" s="293"/>
      <c r="C7" s="281" t="str">
        <f>"Экзаменов"</f>
        <v>Экзаменов</v>
      </c>
      <c r="D7" s="281" t="str">
        <f>"Зачетов"</f>
        <v>Зачетов</v>
      </c>
      <c r="E7" s="281" t="s">
        <v>66</v>
      </c>
      <c r="F7" s="180" t="str">
        <f>"Курсовых проектов"</f>
        <v>Курсовых проектов</v>
      </c>
      <c r="G7" s="282"/>
      <c r="H7" s="198" t="str">
        <f>"Общее количество"</f>
        <v>Общее количество</v>
      </c>
      <c r="I7" s="225" t="s">
        <v>68</v>
      </c>
      <c r="J7" s="225"/>
      <c r="K7" s="225"/>
      <c r="L7" s="225"/>
      <c r="M7" s="225"/>
      <c r="N7" s="198" t="str">
        <f>"Курсовые работы"</f>
        <v>Курсовые работы</v>
      </c>
      <c r="O7" s="306" t="str">
        <f>"Самостоят. работа"</f>
        <v>Самостоят. работа</v>
      </c>
      <c r="P7" s="299">
        <v>1</v>
      </c>
      <c r="Q7" s="225">
        <v>2</v>
      </c>
      <c r="R7" s="225">
        <v>3</v>
      </c>
      <c r="S7" s="225">
        <v>4</v>
      </c>
      <c r="T7" s="225">
        <v>5</v>
      </c>
      <c r="U7" s="225">
        <v>6</v>
      </c>
      <c r="V7" s="225">
        <v>7</v>
      </c>
      <c r="W7" s="225">
        <v>8</v>
      </c>
      <c r="X7" s="225">
        <v>9</v>
      </c>
      <c r="Y7" s="295">
        <v>10</v>
      </c>
    </row>
    <row r="8" spans="1:25" s="3" customFormat="1" ht="31.5" customHeight="1">
      <c r="A8" s="177"/>
      <c r="B8" s="293"/>
      <c r="C8" s="282"/>
      <c r="D8" s="282"/>
      <c r="E8" s="282"/>
      <c r="F8" s="182"/>
      <c r="G8" s="282"/>
      <c r="H8" s="198"/>
      <c r="I8" s="198" t="str">
        <f>"Всего аудиторных"</f>
        <v>Всего аудиторных</v>
      </c>
      <c r="J8" s="198" t="str">
        <f>"Лекции"</f>
        <v>Лекции</v>
      </c>
      <c r="K8" s="198" t="str">
        <f>"Лабораторные занятия"</f>
        <v>Лабораторные занятия</v>
      </c>
      <c r="L8" s="198" t="str">
        <f>"Практические занятия"</f>
        <v>Практические занятия</v>
      </c>
      <c r="M8" s="198" t="str">
        <f>"Семинарские занятия"</f>
        <v>Семинарские занятия</v>
      </c>
      <c r="N8" s="198"/>
      <c r="O8" s="306"/>
      <c r="P8" s="299"/>
      <c r="Q8" s="225"/>
      <c r="R8" s="225"/>
      <c r="S8" s="225"/>
      <c r="T8" s="225"/>
      <c r="U8" s="225"/>
      <c r="V8" s="225"/>
      <c r="W8" s="225"/>
      <c r="X8" s="225"/>
      <c r="Y8" s="295"/>
    </row>
    <row r="9" spans="1:25" s="3" customFormat="1" ht="12">
      <c r="A9" s="177"/>
      <c r="B9" s="293"/>
      <c r="C9" s="282"/>
      <c r="D9" s="282"/>
      <c r="E9" s="282"/>
      <c r="F9" s="182"/>
      <c r="G9" s="282"/>
      <c r="H9" s="198"/>
      <c r="I9" s="198"/>
      <c r="J9" s="198"/>
      <c r="K9" s="198"/>
      <c r="L9" s="198"/>
      <c r="M9" s="198"/>
      <c r="N9" s="198"/>
      <c r="O9" s="306"/>
      <c r="P9" s="299" t="s">
        <v>74</v>
      </c>
      <c r="Q9" s="225"/>
      <c r="R9" s="225"/>
      <c r="S9" s="225"/>
      <c r="T9" s="225"/>
      <c r="U9" s="225"/>
      <c r="V9" s="225"/>
      <c r="W9" s="225"/>
      <c r="X9" s="225"/>
      <c r="Y9" s="295"/>
    </row>
    <row r="10" spans="1:25" s="3" customFormat="1" ht="10.5" customHeight="1">
      <c r="A10" s="177"/>
      <c r="B10" s="293"/>
      <c r="C10" s="282"/>
      <c r="D10" s="282"/>
      <c r="E10" s="282"/>
      <c r="F10" s="182"/>
      <c r="G10" s="282"/>
      <c r="H10" s="198"/>
      <c r="I10" s="198"/>
      <c r="J10" s="198"/>
      <c r="K10" s="198"/>
      <c r="L10" s="198"/>
      <c r="M10" s="198"/>
      <c r="N10" s="198"/>
      <c r="O10" s="306"/>
      <c r="P10" s="300">
        <v>18</v>
      </c>
      <c r="Q10" s="302">
        <v>18</v>
      </c>
      <c r="R10" s="302">
        <v>18</v>
      </c>
      <c r="S10" s="302">
        <v>18</v>
      </c>
      <c r="T10" s="302">
        <v>18</v>
      </c>
      <c r="U10" s="302">
        <v>18</v>
      </c>
      <c r="V10" s="302">
        <v>18</v>
      </c>
      <c r="W10" s="302">
        <v>18</v>
      </c>
      <c r="X10" s="302">
        <v>14</v>
      </c>
      <c r="Y10" s="304">
        <v>0</v>
      </c>
    </row>
    <row r="11" spans="1:25" s="39" customFormat="1" ht="10.5" customHeight="1">
      <c r="A11" s="177"/>
      <c r="B11" s="293"/>
      <c r="C11" s="282"/>
      <c r="D11" s="282"/>
      <c r="E11" s="282"/>
      <c r="F11" s="182"/>
      <c r="G11" s="282"/>
      <c r="H11" s="198"/>
      <c r="I11" s="198"/>
      <c r="J11" s="198"/>
      <c r="K11" s="198"/>
      <c r="L11" s="198"/>
      <c r="M11" s="198"/>
      <c r="N11" s="198"/>
      <c r="O11" s="306"/>
      <c r="P11" s="301"/>
      <c r="Q11" s="303"/>
      <c r="R11" s="303"/>
      <c r="S11" s="303"/>
      <c r="T11" s="303"/>
      <c r="U11" s="303"/>
      <c r="V11" s="303"/>
      <c r="W11" s="303"/>
      <c r="X11" s="303"/>
      <c r="Y11" s="305"/>
    </row>
    <row r="12" spans="1:25" s="39" customFormat="1" ht="10.5" customHeight="1">
      <c r="A12" s="177"/>
      <c r="B12" s="294"/>
      <c r="C12" s="283"/>
      <c r="D12" s="283"/>
      <c r="E12" s="283"/>
      <c r="F12" s="184"/>
      <c r="G12" s="283"/>
      <c r="H12" s="198"/>
      <c r="I12" s="198"/>
      <c r="J12" s="198"/>
      <c r="K12" s="198"/>
      <c r="L12" s="198"/>
      <c r="M12" s="198"/>
      <c r="N12" s="198"/>
      <c r="O12" s="306"/>
      <c r="P12" s="299" t="s">
        <v>75</v>
      </c>
      <c r="Q12" s="225"/>
      <c r="R12" s="225"/>
      <c r="S12" s="225"/>
      <c r="T12" s="225"/>
      <c r="U12" s="225"/>
      <c r="V12" s="225"/>
      <c r="W12" s="225"/>
      <c r="X12" s="225"/>
      <c r="Y12" s="295"/>
    </row>
    <row r="13" spans="1:25" s="13" customFormat="1" ht="12" customHeight="1">
      <c r="A13" s="153" t="s">
        <v>49</v>
      </c>
      <c r="B13" s="150" t="str">
        <f>"Национально-региональный (вузовский) компонент"</f>
        <v>Национально-региональный (вузовский) компонент</v>
      </c>
      <c r="C13" s="2">
        <v>2</v>
      </c>
      <c r="D13" s="17">
        <v>2</v>
      </c>
      <c r="E13" s="17"/>
      <c r="F13" s="90"/>
      <c r="G13" s="2">
        <v>270</v>
      </c>
      <c r="H13" s="11">
        <v>270</v>
      </c>
      <c r="I13" s="2">
        <f aca="true" t="shared" si="0" ref="I13:I19">P13*$P$10+Q13*$Q$10+R13*$R$10+S13*$S$10+T13*$T$10+U13*$U$10+V13*$V$10++W13*$W$10++X13*$W$10++Y13*$X$10</f>
        <v>126</v>
      </c>
      <c r="J13" s="17">
        <v>36</v>
      </c>
      <c r="K13" s="17"/>
      <c r="L13" s="17">
        <v>72</v>
      </c>
      <c r="M13" s="17">
        <v>18</v>
      </c>
      <c r="N13" s="17"/>
      <c r="O13" s="86">
        <f aca="true" t="shared" si="1" ref="O13:O19">H13-I13-N13</f>
        <v>144</v>
      </c>
      <c r="P13" s="40">
        <v>2</v>
      </c>
      <c r="Q13" s="40">
        <v>5</v>
      </c>
      <c r="R13" s="40"/>
      <c r="S13" s="162"/>
      <c r="T13" s="160"/>
      <c r="U13" s="40"/>
      <c r="V13" s="40"/>
      <c r="W13" s="40"/>
      <c r="X13" s="40"/>
      <c r="Y13" s="40"/>
    </row>
    <row r="14" spans="1:25" s="13" customFormat="1" ht="10.5" customHeight="1">
      <c r="A14" s="153" t="s">
        <v>50</v>
      </c>
      <c r="B14" s="95" t="s">
        <v>51</v>
      </c>
      <c r="C14" s="42"/>
      <c r="D14" s="41">
        <v>2</v>
      </c>
      <c r="E14" s="41"/>
      <c r="F14" s="90"/>
      <c r="G14" s="2"/>
      <c r="H14" s="75">
        <v>144</v>
      </c>
      <c r="I14" s="2">
        <f t="shared" si="0"/>
        <v>72</v>
      </c>
      <c r="J14" s="42"/>
      <c r="K14" s="42"/>
      <c r="L14" s="42">
        <v>72</v>
      </c>
      <c r="M14" s="42"/>
      <c r="N14" s="42"/>
      <c r="O14" s="86">
        <f t="shared" si="1"/>
        <v>72</v>
      </c>
      <c r="P14" s="40">
        <v>2</v>
      </c>
      <c r="Q14" s="40">
        <v>2</v>
      </c>
      <c r="R14" s="40"/>
      <c r="S14" s="162"/>
      <c r="T14" s="160"/>
      <c r="U14" s="40"/>
      <c r="V14" s="40"/>
      <c r="W14" s="40"/>
      <c r="X14" s="40"/>
      <c r="Y14" s="40"/>
    </row>
    <row r="15" spans="1:25" s="13" customFormat="1" ht="10.5" customHeight="1">
      <c r="A15" s="153" t="s">
        <v>52</v>
      </c>
      <c r="B15" s="95" t="s">
        <v>53</v>
      </c>
      <c r="C15" s="2">
        <v>2</v>
      </c>
      <c r="D15" s="17"/>
      <c r="E15" s="17"/>
      <c r="F15" s="90"/>
      <c r="G15" s="2"/>
      <c r="H15" s="75">
        <v>126</v>
      </c>
      <c r="I15" s="2">
        <f t="shared" si="0"/>
        <v>54</v>
      </c>
      <c r="J15" s="2">
        <v>36</v>
      </c>
      <c r="K15" s="2"/>
      <c r="L15" s="2"/>
      <c r="M15" s="2">
        <v>18</v>
      </c>
      <c r="N15" s="2"/>
      <c r="O15" s="86">
        <f t="shared" si="1"/>
        <v>72</v>
      </c>
      <c r="P15" s="40"/>
      <c r="Q15" s="40">
        <v>3</v>
      </c>
      <c r="R15" s="40"/>
      <c r="S15" s="162"/>
      <c r="T15" s="160"/>
      <c r="U15" s="40"/>
      <c r="V15" s="40"/>
      <c r="W15" s="40"/>
      <c r="X15" s="40"/>
      <c r="Y15" s="40"/>
    </row>
    <row r="16" spans="1:25" s="13" customFormat="1" ht="18.75" customHeight="1">
      <c r="A16" s="10" t="str">
        <f>"ГСЭВ.00"</f>
        <v>ГСЭВ.00</v>
      </c>
      <c r="B16" s="150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16" s="8"/>
      <c r="D16" s="8">
        <v>3456</v>
      </c>
      <c r="E16" s="12"/>
      <c r="F16" s="90"/>
      <c r="G16" s="8">
        <v>270</v>
      </c>
      <c r="H16" s="11">
        <v>270</v>
      </c>
      <c r="I16" s="2">
        <f t="shared" si="0"/>
        <v>144</v>
      </c>
      <c r="J16" s="8">
        <v>72</v>
      </c>
      <c r="K16" s="8"/>
      <c r="L16" s="8"/>
      <c r="M16" s="8">
        <v>72</v>
      </c>
      <c r="N16" s="8"/>
      <c r="O16" s="86">
        <f t="shared" si="1"/>
        <v>126</v>
      </c>
      <c r="P16" s="8"/>
      <c r="Q16" s="8"/>
      <c r="R16" s="8">
        <v>2</v>
      </c>
      <c r="S16" s="163">
        <v>2</v>
      </c>
      <c r="T16" s="11">
        <v>2</v>
      </c>
      <c r="U16" s="8">
        <v>2</v>
      </c>
      <c r="V16" s="8"/>
      <c r="W16" s="8"/>
      <c r="X16" s="8"/>
      <c r="Y16" s="8"/>
    </row>
    <row r="17" spans="1:25" s="13" customFormat="1" ht="10.5" customHeight="1">
      <c r="A17" s="153" t="s">
        <v>54</v>
      </c>
      <c r="B17" s="80"/>
      <c r="C17" s="2"/>
      <c r="D17" s="17">
        <v>3</v>
      </c>
      <c r="E17" s="17"/>
      <c r="F17" s="90"/>
      <c r="G17" s="2"/>
      <c r="H17" s="76">
        <v>70</v>
      </c>
      <c r="I17" s="2">
        <f t="shared" si="0"/>
        <v>36</v>
      </c>
      <c r="J17" s="7">
        <v>18</v>
      </c>
      <c r="K17" s="7"/>
      <c r="L17" s="7"/>
      <c r="M17" s="7">
        <v>18</v>
      </c>
      <c r="N17" s="7"/>
      <c r="O17" s="86">
        <f t="shared" si="1"/>
        <v>34</v>
      </c>
      <c r="P17" s="40"/>
      <c r="Q17" s="40"/>
      <c r="R17" s="40">
        <v>2</v>
      </c>
      <c r="S17" s="162"/>
      <c r="T17" s="160"/>
      <c r="U17" s="40"/>
      <c r="V17" s="40"/>
      <c r="W17" s="40"/>
      <c r="X17" s="40"/>
      <c r="Y17" s="40"/>
    </row>
    <row r="18" spans="1:25" s="13" customFormat="1" ht="10.5" customHeight="1">
      <c r="A18" s="153" t="s">
        <v>55</v>
      </c>
      <c r="B18" s="80"/>
      <c r="C18" s="2"/>
      <c r="D18" s="17">
        <v>4</v>
      </c>
      <c r="E18" s="17"/>
      <c r="F18" s="90"/>
      <c r="G18" s="2"/>
      <c r="H18" s="75">
        <v>70</v>
      </c>
      <c r="I18" s="2">
        <f t="shared" si="0"/>
        <v>36</v>
      </c>
      <c r="J18" s="2">
        <v>18</v>
      </c>
      <c r="K18" s="2"/>
      <c r="L18" s="2"/>
      <c r="M18" s="2">
        <v>18</v>
      </c>
      <c r="N18" s="2"/>
      <c r="O18" s="86">
        <f t="shared" si="1"/>
        <v>34</v>
      </c>
      <c r="P18" s="40"/>
      <c r="Q18" s="40"/>
      <c r="R18" s="40"/>
      <c r="S18" s="162">
        <v>2</v>
      </c>
      <c r="T18" s="160"/>
      <c r="U18" s="40"/>
      <c r="V18" s="40"/>
      <c r="W18" s="40"/>
      <c r="X18" s="40"/>
      <c r="Y18" s="40"/>
    </row>
    <row r="19" spans="1:25" s="13" customFormat="1" ht="10.5" customHeight="1">
      <c r="A19" s="153" t="s">
        <v>56</v>
      </c>
      <c r="B19" s="151" t="str">
        <f>"           По приказу ректора КБГУ"</f>
        <v>           По приказу ректора КБГУ</v>
      </c>
      <c r="C19" s="2"/>
      <c r="D19" s="17">
        <v>5</v>
      </c>
      <c r="E19" s="17"/>
      <c r="F19" s="90"/>
      <c r="G19" s="2"/>
      <c r="H19" s="75">
        <v>65</v>
      </c>
      <c r="I19" s="2">
        <f t="shared" si="0"/>
        <v>36</v>
      </c>
      <c r="J19" s="2">
        <v>18</v>
      </c>
      <c r="K19" s="2"/>
      <c r="L19" s="2"/>
      <c r="M19" s="2">
        <v>18</v>
      </c>
      <c r="N19" s="2"/>
      <c r="O19" s="86">
        <f t="shared" si="1"/>
        <v>29</v>
      </c>
      <c r="P19" s="40"/>
      <c r="Q19" s="40"/>
      <c r="R19" s="40"/>
      <c r="S19" s="162"/>
      <c r="T19" s="160">
        <v>2</v>
      </c>
      <c r="U19" s="40"/>
      <c r="V19" s="40"/>
      <c r="W19" s="40"/>
      <c r="X19" s="40"/>
      <c r="Y19" s="40"/>
    </row>
    <row r="20" spans="1:25" s="13" customFormat="1" ht="10.5" customHeight="1">
      <c r="A20" s="153" t="s">
        <v>57</v>
      </c>
      <c r="B20" s="80"/>
      <c r="C20" s="2"/>
      <c r="D20" s="17"/>
      <c r="E20" s="17"/>
      <c r="F20" s="90"/>
      <c r="G20" s="2"/>
      <c r="H20" s="75"/>
      <c r="I20" s="2"/>
      <c r="J20" s="2"/>
      <c r="K20" s="2"/>
      <c r="L20" s="2"/>
      <c r="M20" s="2"/>
      <c r="N20" s="2"/>
      <c r="O20" s="88"/>
      <c r="P20" s="40"/>
      <c r="Q20" s="40"/>
      <c r="R20" s="40"/>
      <c r="S20" s="162"/>
      <c r="T20" s="160"/>
      <c r="U20" s="40"/>
      <c r="V20" s="40"/>
      <c r="W20" s="40"/>
      <c r="X20" s="40"/>
      <c r="Y20" s="40"/>
    </row>
    <row r="21" spans="1:25" s="13" customFormat="1" ht="10.5" customHeight="1">
      <c r="A21" s="153" t="s">
        <v>58</v>
      </c>
      <c r="B21" s="80"/>
      <c r="C21" s="2"/>
      <c r="D21" s="17">
        <v>6</v>
      </c>
      <c r="E21" s="17"/>
      <c r="F21" s="90"/>
      <c r="G21" s="2"/>
      <c r="H21" s="75">
        <v>65</v>
      </c>
      <c r="I21" s="2">
        <f>P21*$P$10+Q21*$Q$10+R21*$R$10+S21*$S$10+T21*$T$10+U21*$U$10+V21*$V$10++W21*$W$10++X21*$W$10++Y21*$X$10</f>
        <v>36</v>
      </c>
      <c r="J21" s="2">
        <v>18</v>
      </c>
      <c r="K21" s="2"/>
      <c r="L21" s="2"/>
      <c r="M21" s="2">
        <v>18</v>
      </c>
      <c r="N21" s="2"/>
      <c r="O21" s="86">
        <f>H21-I21-N21</f>
        <v>29</v>
      </c>
      <c r="P21" s="40"/>
      <c r="Q21" s="40"/>
      <c r="R21" s="40"/>
      <c r="S21" s="162"/>
      <c r="T21" s="160"/>
      <c r="U21" s="40">
        <v>2</v>
      </c>
      <c r="V21" s="40"/>
      <c r="W21" s="40"/>
      <c r="X21" s="40"/>
      <c r="Y21" s="40"/>
    </row>
    <row r="22" spans="1:25" s="6" customFormat="1" ht="12" customHeight="1" outlineLevel="1">
      <c r="A22" s="153" t="s">
        <v>59</v>
      </c>
      <c r="B22" s="79"/>
      <c r="C22" s="2"/>
      <c r="D22" s="17"/>
      <c r="E22" s="17"/>
      <c r="F22" s="91"/>
      <c r="G22" s="2"/>
      <c r="H22" s="75"/>
      <c r="I22" s="2"/>
      <c r="J22" s="2"/>
      <c r="K22" s="2"/>
      <c r="L22" s="2"/>
      <c r="M22" s="2"/>
      <c r="N22" s="2"/>
      <c r="O22" s="88"/>
      <c r="P22" s="40"/>
      <c r="Q22" s="40"/>
      <c r="R22" s="40"/>
      <c r="S22" s="162"/>
      <c r="T22" s="160"/>
      <c r="U22" s="40"/>
      <c r="V22" s="40"/>
      <c r="W22" s="40"/>
      <c r="X22" s="40"/>
      <c r="Y22" s="40"/>
    </row>
    <row r="23" spans="1:25" s="6" customFormat="1" ht="21.75" customHeight="1" outlineLevel="1">
      <c r="A23" s="153" t="s">
        <v>103</v>
      </c>
      <c r="B23" s="150" t="str">
        <f>"Национально-региональный (вузовский) компонент"</f>
        <v>Национально-региональный (вузовский) компонент</v>
      </c>
      <c r="C23" s="2"/>
      <c r="D23" s="2">
        <v>8</v>
      </c>
      <c r="E23" s="2"/>
      <c r="F23" s="91"/>
      <c r="G23" s="2">
        <v>150</v>
      </c>
      <c r="H23" s="11">
        <v>150</v>
      </c>
      <c r="I23" s="2">
        <f>P23*$P$10+Q23*$Q$10+R23*$R$10+S23*$S$10+T23*$T$10+U23*$U$10+V23*$V$10++W23*$W$10++X23*$W$10++Y23*$X$10</f>
        <v>72</v>
      </c>
      <c r="J23" s="2">
        <v>36</v>
      </c>
      <c r="K23" s="2">
        <v>18</v>
      </c>
      <c r="L23" s="2">
        <v>18</v>
      </c>
      <c r="M23" s="2"/>
      <c r="N23" s="2"/>
      <c r="O23" s="86">
        <f>H23-I23-N23</f>
        <v>78</v>
      </c>
      <c r="P23" s="40"/>
      <c r="Q23" s="40"/>
      <c r="R23" s="40"/>
      <c r="S23" s="162"/>
      <c r="T23" s="160"/>
      <c r="U23" s="40"/>
      <c r="V23" s="40"/>
      <c r="W23" s="40">
        <v>4</v>
      </c>
      <c r="X23" s="40"/>
      <c r="Y23" s="40"/>
    </row>
    <row r="24" spans="1:25" s="6" customFormat="1" ht="22.5" customHeight="1" outlineLevel="1">
      <c r="A24" s="153" t="s">
        <v>104</v>
      </c>
      <c r="B24" s="157" t="str">
        <f>"Физические  принципы и конструкция усилителей рентгеновского изображения"</f>
        <v>Физические  принципы и конструкция усилителей рентгеновского изображения</v>
      </c>
      <c r="C24" s="2"/>
      <c r="D24" s="2">
        <v>8</v>
      </c>
      <c r="E24" s="2"/>
      <c r="F24" s="91"/>
      <c r="G24" s="2"/>
      <c r="H24" s="11">
        <v>150</v>
      </c>
      <c r="I24" s="2">
        <f>P24*$P$10+Q24*$Q$10+R24*$R$10+S24*$S$10+T24*$T$10+U24*$U$10+V24*$V$10++W24*$W$10++X24*$W$10++Y24*$X$10</f>
        <v>72</v>
      </c>
      <c r="J24" s="2">
        <v>36</v>
      </c>
      <c r="K24" s="2">
        <v>18</v>
      </c>
      <c r="L24" s="2">
        <v>18</v>
      </c>
      <c r="M24" s="2"/>
      <c r="N24" s="2"/>
      <c r="O24" s="86">
        <f>H24-I24-N24</f>
        <v>78</v>
      </c>
      <c r="P24" s="40"/>
      <c r="Q24" s="40"/>
      <c r="R24" s="40"/>
      <c r="S24" s="162"/>
      <c r="T24" s="160"/>
      <c r="U24" s="40"/>
      <c r="V24" s="40"/>
      <c r="W24" s="40">
        <v>4</v>
      </c>
      <c r="X24" s="40"/>
      <c r="Y24" s="40"/>
    </row>
    <row r="25" spans="1:25" s="6" customFormat="1" ht="12" customHeight="1" outlineLevel="1">
      <c r="A25" s="153"/>
      <c r="B25" s="14"/>
      <c r="C25" s="2"/>
      <c r="D25" s="2"/>
      <c r="E25" s="2"/>
      <c r="F25" s="91"/>
      <c r="G25" s="2"/>
      <c r="H25" s="11"/>
      <c r="I25" s="2"/>
      <c r="J25" s="2"/>
      <c r="K25" s="2"/>
      <c r="L25" s="2"/>
      <c r="M25" s="2"/>
      <c r="N25" s="2"/>
      <c r="O25" s="86"/>
      <c r="P25" s="40"/>
      <c r="Q25" s="40"/>
      <c r="R25" s="40"/>
      <c r="S25" s="162"/>
      <c r="T25" s="160"/>
      <c r="U25" s="40"/>
      <c r="V25" s="40"/>
      <c r="W25" s="40"/>
      <c r="X25" s="40"/>
      <c r="Y25" s="40"/>
    </row>
    <row r="26" spans="1:25" s="6" customFormat="1" ht="19.5" customHeight="1" outlineLevel="1">
      <c r="A26" s="155" t="s">
        <v>105</v>
      </c>
      <c r="B26" s="150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26" s="82"/>
      <c r="D26" s="2">
        <v>1</v>
      </c>
      <c r="E26" s="82"/>
      <c r="F26" s="91"/>
      <c r="G26" s="2">
        <v>150</v>
      </c>
      <c r="H26" s="11">
        <v>150</v>
      </c>
      <c r="I26" s="2">
        <f>P26*$P$10+Q26*$Q$10+R26*$R$10+S26*$S$10+T26*$T$10+U26*$U$10+V26*$V$10++W26*$W$10++X26*$W$10++Y26*$X$10</f>
        <v>72</v>
      </c>
      <c r="J26" s="2">
        <v>36</v>
      </c>
      <c r="K26" s="82"/>
      <c r="L26" s="2">
        <v>36</v>
      </c>
      <c r="M26" s="82"/>
      <c r="N26" s="82"/>
      <c r="O26" s="86">
        <f>H26-I26-N26</f>
        <v>78</v>
      </c>
      <c r="P26" s="40">
        <v>4</v>
      </c>
      <c r="Q26" s="79"/>
      <c r="R26" s="79"/>
      <c r="S26" s="164"/>
      <c r="T26" s="161"/>
      <c r="U26" s="79"/>
      <c r="V26" s="79"/>
      <c r="W26" s="79"/>
      <c r="X26" s="79"/>
      <c r="Y26" s="79"/>
    </row>
    <row r="27" spans="1:25" s="6" customFormat="1" ht="12" customHeight="1" outlineLevel="1">
      <c r="A27" s="153" t="s">
        <v>106</v>
      </c>
      <c r="B27" s="157" t="str">
        <f>"Физические основы диагностики и лечения болезней"</f>
        <v>Физические основы диагностики и лечения болезней</v>
      </c>
      <c r="C27" s="82"/>
      <c r="D27" s="2" t="s">
        <v>143</v>
      </c>
      <c r="E27" s="82"/>
      <c r="F27" s="91"/>
      <c r="G27" s="2"/>
      <c r="H27" s="11" t="s">
        <v>143</v>
      </c>
      <c r="I27" s="2" t="s">
        <v>143</v>
      </c>
      <c r="J27" s="2" t="s">
        <v>143</v>
      </c>
      <c r="K27" s="82"/>
      <c r="L27" s="2" t="s">
        <v>143</v>
      </c>
      <c r="M27" s="82"/>
      <c r="N27" s="82"/>
      <c r="O27" s="86" t="s">
        <v>143</v>
      </c>
      <c r="P27" s="40" t="s">
        <v>143</v>
      </c>
      <c r="Q27" s="79"/>
      <c r="R27" s="79"/>
      <c r="S27" s="164"/>
      <c r="T27" s="161"/>
      <c r="U27" s="79"/>
      <c r="V27" s="79"/>
      <c r="W27" s="79"/>
      <c r="X27" s="79"/>
      <c r="Y27" s="79"/>
    </row>
    <row r="28" spans="1:25" s="6" customFormat="1" ht="12" customHeight="1" outlineLevel="1">
      <c r="A28" s="153" t="s">
        <v>106</v>
      </c>
      <c r="B28" s="95" t="str">
        <f>"Явления переноса массы, энергии и импульса"</f>
        <v>Явления переноса массы, энергии и импульса</v>
      </c>
      <c r="C28" s="82"/>
      <c r="D28" s="2" t="s">
        <v>143</v>
      </c>
      <c r="E28" s="82"/>
      <c r="F28" s="91"/>
      <c r="G28" s="2"/>
      <c r="H28" s="11" t="s">
        <v>143</v>
      </c>
      <c r="I28" s="2" t="s">
        <v>143</v>
      </c>
      <c r="J28" s="2" t="s">
        <v>143</v>
      </c>
      <c r="K28" s="82"/>
      <c r="L28" s="2" t="s">
        <v>143</v>
      </c>
      <c r="M28" s="82"/>
      <c r="N28" s="82"/>
      <c r="O28" s="86" t="s">
        <v>143</v>
      </c>
      <c r="P28" s="40" t="s">
        <v>143</v>
      </c>
      <c r="Q28" s="79"/>
      <c r="R28" s="79"/>
      <c r="S28" s="164"/>
      <c r="T28" s="161"/>
      <c r="U28" s="79"/>
      <c r="V28" s="79"/>
      <c r="W28" s="79"/>
      <c r="X28" s="79"/>
      <c r="Y28" s="79"/>
    </row>
    <row r="29" spans="1:25" s="6" customFormat="1" ht="12" customHeight="1" outlineLevel="1">
      <c r="A29" s="153" t="s">
        <v>106</v>
      </c>
      <c r="B29" s="95" t="str">
        <f>"Введение в медицинскую физику"</f>
        <v>Введение в медицинскую физику</v>
      </c>
      <c r="C29" s="82"/>
      <c r="D29" s="2" t="s">
        <v>143</v>
      </c>
      <c r="E29" s="82"/>
      <c r="F29" s="91"/>
      <c r="G29" s="2"/>
      <c r="H29" s="11" t="s">
        <v>143</v>
      </c>
      <c r="I29" s="2" t="s">
        <v>143</v>
      </c>
      <c r="J29" s="2" t="s">
        <v>143</v>
      </c>
      <c r="K29" s="82"/>
      <c r="L29" s="2" t="s">
        <v>143</v>
      </c>
      <c r="M29" s="82"/>
      <c r="N29" s="82"/>
      <c r="O29" s="86" t="s">
        <v>143</v>
      </c>
      <c r="P29" s="40" t="s">
        <v>143</v>
      </c>
      <c r="Q29" s="79"/>
      <c r="R29" s="79"/>
      <c r="S29" s="164"/>
      <c r="T29" s="161"/>
      <c r="U29" s="79"/>
      <c r="V29" s="79"/>
      <c r="W29" s="79"/>
      <c r="X29" s="79"/>
      <c r="Y29" s="79"/>
    </row>
    <row r="30" spans="1:25" s="13" customFormat="1" ht="14.25" customHeight="1" outlineLevel="1">
      <c r="A30" s="155" t="s">
        <v>106</v>
      </c>
      <c r="B30" s="95" t="str">
        <f>"Избр. вопросы механики и теории относительности"</f>
        <v>Избр. вопросы механики и теории относительности</v>
      </c>
      <c r="C30" s="82"/>
      <c r="D30" s="2" t="s">
        <v>143</v>
      </c>
      <c r="E30" s="82"/>
      <c r="F30" s="91"/>
      <c r="G30" s="2"/>
      <c r="H30" s="11" t="s">
        <v>143</v>
      </c>
      <c r="I30" s="2" t="s">
        <v>143</v>
      </c>
      <c r="J30" s="2" t="s">
        <v>143</v>
      </c>
      <c r="K30" s="82"/>
      <c r="L30" s="2" t="s">
        <v>143</v>
      </c>
      <c r="M30" s="82"/>
      <c r="N30" s="82"/>
      <c r="O30" s="86" t="s">
        <v>143</v>
      </c>
      <c r="P30" s="40" t="s">
        <v>143</v>
      </c>
      <c r="Q30" s="79"/>
      <c r="R30" s="79"/>
      <c r="S30" s="164"/>
      <c r="T30" s="161"/>
      <c r="U30" s="79"/>
      <c r="V30" s="79"/>
      <c r="W30" s="79"/>
      <c r="X30" s="79"/>
      <c r="Y30" s="79"/>
    </row>
    <row r="31" spans="1:25" s="13" customFormat="1" ht="12" customHeight="1" outlineLevel="1">
      <c r="A31" s="153"/>
      <c r="B31" s="14"/>
      <c r="C31" s="82"/>
      <c r="D31" s="2"/>
      <c r="E31" s="82"/>
      <c r="F31" s="91"/>
      <c r="G31" s="2"/>
      <c r="H31" s="11"/>
      <c r="I31" s="2"/>
      <c r="J31" s="2"/>
      <c r="K31" s="82"/>
      <c r="L31" s="2"/>
      <c r="M31" s="82"/>
      <c r="N31" s="82"/>
      <c r="O31" s="86"/>
      <c r="P31" s="40"/>
      <c r="Q31" s="79"/>
      <c r="R31" s="79"/>
      <c r="S31" s="164"/>
      <c r="T31" s="161"/>
      <c r="U31" s="79"/>
      <c r="V31" s="79"/>
      <c r="W31" s="79"/>
      <c r="X31" s="79"/>
      <c r="Y31" s="79"/>
    </row>
    <row r="32" spans="1:25" s="13" customFormat="1" ht="21" customHeight="1" outlineLevel="1">
      <c r="A32" s="10" t="str">
        <f>"ОПДР.00"</f>
        <v>ОПДР.00</v>
      </c>
      <c r="B32" s="150" t="str">
        <f>"Национально-региональный (вузовский) компонент"</f>
        <v>Национально-региональный (вузовский) компонент</v>
      </c>
      <c r="C32" s="82"/>
      <c r="D32" s="2">
        <v>4</v>
      </c>
      <c r="E32" s="82"/>
      <c r="F32" s="90"/>
      <c r="G32" s="2">
        <v>100</v>
      </c>
      <c r="H32" s="11">
        <v>100</v>
      </c>
      <c r="I32" s="2">
        <f>P32*$P$10+Q32*$Q$10+R32*$R$10+S32*$S$10+T32*$T$10+U32*$U$10+V32*$V$10++W32*$W$10++X32*$W$10++Y32*$X$10</f>
        <v>36</v>
      </c>
      <c r="J32" s="2">
        <v>18</v>
      </c>
      <c r="K32" s="2"/>
      <c r="L32" s="2">
        <v>18</v>
      </c>
      <c r="M32" s="2"/>
      <c r="N32" s="82"/>
      <c r="O32" s="86">
        <f>H32-I32-N32</f>
        <v>64</v>
      </c>
      <c r="P32" s="40"/>
      <c r="Q32" s="79"/>
      <c r="R32" s="79"/>
      <c r="S32" s="164">
        <v>2</v>
      </c>
      <c r="T32" s="161"/>
      <c r="U32" s="79"/>
      <c r="V32" s="79"/>
      <c r="W32" s="79"/>
      <c r="X32" s="79"/>
      <c r="Y32" s="79"/>
    </row>
    <row r="33" spans="1:25" s="13" customFormat="1" ht="12" customHeight="1" outlineLevel="1">
      <c r="A33" s="10" t="str">
        <f>"ОПДР.01"</f>
        <v>ОПДР.01</v>
      </c>
      <c r="B33" s="95" t="str">
        <f>"Электронно-эмиссионные методы исследования живой материи"</f>
        <v>Электронно-эмиссионные методы исследования живой материи</v>
      </c>
      <c r="C33" s="82"/>
      <c r="D33" s="2">
        <v>4</v>
      </c>
      <c r="E33" s="82"/>
      <c r="F33" s="90"/>
      <c r="G33" s="2"/>
      <c r="H33" s="11">
        <v>100</v>
      </c>
      <c r="I33" s="2">
        <f>P33*$P$10+Q33*$Q$10+R33*$R$10+S33*$S$10+T33*$T$10+U33*$U$10+V33*$V$10++W33*$W$10++X33*$W$10++Y33*$X$10</f>
        <v>36</v>
      </c>
      <c r="J33" s="2">
        <v>18</v>
      </c>
      <c r="K33" s="2"/>
      <c r="L33" s="2">
        <v>18</v>
      </c>
      <c r="M33" s="2"/>
      <c r="N33" s="82"/>
      <c r="O33" s="86">
        <f>H33-I33-N33</f>
        <v>64</v>
      </c>
      <c r="P33" s="40"/>
      <c r="Q33" s="79"/>
      <c r="R33" s="79"/>
      <c r="S33" s="164">
        <v>2</v>
      </c>
      <c r="T33" s="161"/>
      <c r="U33" s="79"/>
      <c r="V33" s="79"/>
      <c r="W33" s="79"/>
      <c r="X33" s="79"/>
      <c r="Y33" s="79"/>
    </row>
    <row r="34" spans="1:25" s="13" customFormat="1" ht="12" customHeight="1" outlineLevel="1">
      <c r="A34" s="10"/>
      <c r="B34" s="14"/>
      <c r="C34" s="82"/>
      <c r="D34" s="2"/>
      <c r="E34" s="82"/>
      <c r="F34" s="90"/>
      <c r="G34" s="2"/>
      <c r="H34" s="11"/>
      <c r="I34" s="2"/>
      <c r="J34" s="2"/>
      <c r="K34" s="2"/>
      <c r="L34" s="2"/>
      <c r="M34" s="2"/>
      <c r="N34" s="82"/>
      <c r="O34" s="86"/>
      <c r="P34" s="40"/>
      <c r="Q34" s="79"/>
      <c r="R34" s="79"/>
      <c r="S34" s="164"/>
      <c r="T34" s="161"/>
      <c r="U34" s="79"/>
      <c r="V34" s="79"/>
      <c r="W34" s="79"/>
      <c r="X34" s="79"/>
      <c r="Y34" s="79"/>
    </row>
    <row r="35" spans="1:25" s="13" customFormat="1" ht="19.5" customHeight="1" outlineLevel="1">
      <c r="A35" s="10" t="str">
        <f>"ОПДВ.00"</f>
        <v>ОПДВ.00</v>
      </c>
      <c r="B35" s="150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35" s="82"/>
      <c r="D35" s="2">
        <v>8</v>
      </c>
      <c r="E35" s="82"/>
      <c r="F35" s="90"/>
      <c r="G35" s="2">
        <v>100</v>
      </c>
      <c r="H35" s="11">
        <v>100</v>
      </c>
      <c r="I35" s="2">
        <f>P35*$P$10+Q35*$Q$10+R35*$R$10+S35*$S$10+T35*$T$10+U35*$U$10+V35*$V$10++W35*$W$10++X35*$W$10++Y35*$X$10</f>
        <v>36</v>
      </c>
      <c r="J35" s="2">
        <v>18</v>
      </c>
      <c r="K35" s="82"/>
      <c r="L35" s="2">
        <v>18</v>
      </c>
      <c r="M35" s="82"/>
      <c r="N35" s="82"/>
      <c r="O35" s="86">
        <f>H35-I35-N35</f>
        <v>64</v>
      </c>
      <c r="P35" s="40"/>
      <c r="Q35" s="79"/>
      <c r="R35" s="79"/>
      <c r="S35" s="164"/>
      <c r="T35" s="161"/>
      <c r="U35" s="79"/>
      <c r="V35" s="79"/>
      <c r="W35" s="79">
        <v>2</v>
      </c>
      <c r="X35" s="79"/>
      <c r="Y35" s="79"/>
    </row>
    <row r="36" spans="1:25" s="13" customFormat="1" ht="12" customHeight="1" outlineLevel="1">
      <c r="A36" s="10" t="str">
        <f>"ОПДВ.01"</f>
        <v>ОПДВ.01</v>
      </c>
      <c r="B36" s="158" t="s">
        <v>144</v>
      </c>
      <c r="C36" s="82"/>
      <c r="D36" s="2" t="s">
        <v>143</v>
      </c>
      <c r="E36" s="83"/>
      <c r="F36" s="90"/>
      <c r="G36" s="2"/>
      <c r="H36" s="11" t="s">
        <v>143</v>
      </c>
      <c r="I36" s="2" t="s">
        <v>143</v>
      </c>
      <c r="J36" s="2" t="s">
        <v>143</v>
      </c>
      <c r="K36" s="82"/>
      <c r="L36" s="2" t="s">
        <v>143</v>
      </c>
      <c r="M36" s="82"/>
      <c r="N36" s="82"/>
      <c r="O36" s="86" t="s">
        <v>143</v>
      </c>
      <c r="P36" s="40"/>
      <c r="Q36" s="79"/>
      <c r="R36" s="79"/>
      <c r="S36" s="164"/>
      <c r="T36" s="161"/>
      <c r="U36" s="79"/>
      <c r="V36" s="79"/>
      <c r="W36" s="79" t="s">
        <v>143</v>
      </c>
      <c r="X36" s="79"/>
      <c r="Y36" s="79"/>
    </row>
    <row r="37" spans="1:25" s="13" customFormat="1" ht="12" customHeight="1" outlineLevel="1">
      <c r="A37" s="10" t="str">
        <f>"ОПДВ.01"</f>
        <v>ОПДВ.01</v>
      </c>
      <c r="B37" s="158" t="s">
        <v>136</v>
      </c>
      <c r="C37" s="82"/>
      <c r="D37" s="2" t="s">
        <v>143</v>
      </c>
      <c r="E37" s="83"/>
      <c r="F37" s="90"/>
      <c r="G37" s="2"/>
      <c r="H37" s="11" t="s">
        <v>143</v>
      </c>
      <c r="I37" s="2" t="s">
        <v>143</v>
      </c>
      <c r="J37" s="2" t="s">
        <v>143</v>
      </c>
      <c r="K37" s="82"/>
      <c r="L37" s="2" t="s">
        <v>143</v>
      </c>
      <c r="M37" s="82"/>
      <c r="N37" s="82"/>
      <c r="O37" s="86" t="s">
        <v>143</v>
      </c>
      <c r="P37" s="40"/>
      <c r="Q37" s="79"/>
      <c r="R37" s="79"/>
      <c r="S37" s="164"/>
      <c r="T37" s="161"/>
      <c r="U37" s="79"/>
      <c r="V37" s="79"/>
      <c r="W37" s="79" t="s">
        <v>143</v>
      </c>
      <c r="X37" s="79"/>
      <c r="Y37" s="79"/>
    </row>
    <row r="38" spans="1:25" s="13" customFormat="1" ht="12" customHeight="1" outlineLevel="1">
      <c r="A38" s="10" t="str">
        <f>"ОПДВ.01"</f>
        <v>ОПДВ.01</v>
      </c>
      <c r="B38" s="158" t="s">
        <v>137</v>
      </c>
      <c r="C38" s="82"/>
      <c r="D38" s="2" t="s">
        <v>143</v>
      </c>
      <c r="E38" s="83"/>
      <c r="F38" s="90"/>
      <c r="G38" s="2"/>
      <c r="H38" s="11" t="s">
        <v>143</v>
      </c>
      <c r="I38" s="2" t="s">
        <v>143</v>
      </c>
      <c r="J38" s="2" t="s">
        <v>143</v>
      </c>
      <c r="K38" s="82"/>
      <c r="L38" s="2" t="s">
        <v>143</v>
      </c>
      <c r="M38" s="82"/>
      <c r="N38" s="82"/>
      <c r="O38" s="86" t="s">
        <v>143</v>
      </c>
      <c r="P38" s="40"/>
      <c r="Q38" s="79"/>
      <c r="R38" s="79"/>
      <c r="S38" s="164"/>
      <c r="T38" s="161"/>
      <c r="U38" s="79"/>
      <c r="V38" s="79"/>
      <c r="W38" s="79" t="s">
        <v>143</v>
      </c>
      <c r="X38" s="79"/>
      <c r="Y38" s="79"/>
    </row>
    <row r="39" spans="1:25" s="13" customFormat="1" ht="12" customHeight="1">
      <c r="A39" s="10" t="str">
        <f>"ОПДВ.01"</f>
        <v>ОПДВ.01</v>
      </c>
      <c r="B39" s="95" t="str">
        <f>"Физические процессы саморгонизации в природе"</f>
        <v>Физические процессы саморгонизации в природе</v>
      </c>
      <c r="C39" s="82"/>
      <c r="D39" s="2" t="s">
        <v>145</v>
      </c>
      <c r="E39" s="83"/>
      <c r="F39" s="90"/>
      <c r="G39" s="2"/>
      <c r="H39" s="11" t="s">
        <v>143</v>
      </c>
      <c r="I39" s="2" t="s">
        <v>143</v>
      </c>
      <c r="J39" s="2" t="s">
        <v>143</v>
      </c>
      <c r="K39" s="82"/>
      <c r="L39" s="2" t="s">
        <v>143</v>
      </c>
      <c r="M39" s="82"/>
      <c r="N39" s="82"/>
      <c r="O39" s="86" t="s">
        <v>143</v>
      </c>
      <c r="P39" s="40"/>
      <c r="Q39" s="79"/>
      <c r="R39" s="79"/>
      <c r="S39" s="164"/>
      <c r="T39" s="161"/>
      <c r="U39" s="79"/>
      <c r="V39" s="79"/>
      <c r="W39" s="79" t="s">
        <v>143</v>
      </c>
      <c r="X39" s="79"/>
      <c r="Y39" s="79"/>
    </row>
    <row r="40" spans="1:25" s="13" customFormat="1" ht="12" customHeight="1">
      <c r="A40" s="156"/>
      <c r="B40" s="14"/>
      <c r="C40" s="82"/>
      <c r="D40" s="2"/>
      <c r="E40" s="82"/>
      <c r="F40" s="90"/>
      <c r="G40" s="2"/>
      <c r="H40" s="11"/>
      <c r="I40" s="2"/>
      <c r="J40" s="2"/>
      <c r="K40" s="82"/>
      <c r="L40" s="2"/>
      <c r="M40" s="82"/>
      <c r="N40" s="82"/>
      <c r="O40" s="86"/>
      <c r="P40" s="40"/>
      <c r="Q40" s="79"/>
      <c r="R40" s="79"/>
      <c r="S40" s="164"/>
      <c r="T40" s="161"/>
      <c r="U40" s="79"/>
      <c r="V40" s="79"/>
      <c r="W40" s="79"/>
      <c r="X40" s="79"/>
      <c r="Y40" s="79"/>
    </row>
    <row r="41" spans="1:25" s="6" customFormat="1" ht="22.5" customHeight="1" outlineLevel="1">
      <c r="A41" s="156" t="s">
        <v>33</v>
      </c>
      <c r="B41" s="150" t="str">
        <f>"Дисциплины и курсы по выбору студента, устанавливаемые вузом "</f>
        <v>Дисциплины и курсы по выбору студента, устанавливаемые вузом </v>
      </c>
      <c r="C41" s="8"/>
      <c r="D41" s="14" t="str">
        <f>"566888  99"</f>
        <v>566888  99</v>
      </c>
      <c r="E41" s="8" t="str">
        <f>"89"</f>
        <v>89</v>
      </c>
      <c r="F41" s="91"/>
      <c r="G41" s="2"/>
      <c r="H41" s="11">
        <f>SUM(H43:H50)</f>
        <v>552</v>
      </c>
      <c r="I41" s="2">
        <f>P41*$P$10+Q41*$Q$10+R41*$R$10+S41*$S$10+T41*$T$10+U41*$U$10+V41*$V$10+W41*$W$10+X41*$X$10</f>
        <v>456</v>
      </c>
      <c r="J41" s="11">
        <f>SUM(J43:J50)</f>
        <v>246</v>
      </c>
      <c r="K41" s="11">
        <f>SUM(K43:K50)</f>
        <v>82</v>
      </c>
      <c r="L41" s="11">
        <f>SUM(L43:L50)</f>
        <v>128</v>
      </c>
      <c r="M41" s="82"/>
      <c r="N41" s="11">
        <f>SUM(N43:N50)</f>
        <v>12</v>
      </c>
      <c r="O41" s="86">
        <f>H41-I41-N41</f>
        <v>84</v>
      </c>
      <c r="P41" s="40"/>
      <c r="Q41" s="79"/>
      <c r="R41" s="79"/>
      <c r="S41" s="164"/>
      <c r="T41" s="17">
        <v>2</v>
      </c>
      <c r="U41" s="2">
        <v>6</v>
      </c>
      <c r="V41" s="2"/>
      <c r="W41" s="2">
        <v>8</v>
      </c>
      <c r="X41" s="2">
        <v>12</v>
      </c>
      <c r="Y41" s="79"/>
    </row>
    <row r="42" spans="1:25" s="6" customFormat="1" ht="12" customHeight="1" outlineLevel="1">
      <c r="A42" s="8"/>
      <c r="B42" s="154"/>
      <c r="C42" s="84"/>
      <c r="D42" s="2"/>
      <c r="E42" s="85"/>
      <c r="F42" s="91"/>
      <c r="G42" s="2"/>
      <c r="H42" s="11"/>
      <c r="I42" s="2"/>
      <c r="J42" s="2"/>
      <c r="K42" s="2"/>
      <c r="L42" s="2"/>
      <c r="M42" s="82"/>
      <c r="N42" s="2"/>
      <c r="O42" s="86"/>
      <c r="P42" s="40"/>
      <c r="Q42" s="92"/>
      <c r="R42" s="92"/>
      <c r="S42" s="165"/>
      <c r="T42" s="17"/>
      <c r="U42" s="2"/>
      <c r="V42" s="2"/>
      <c r="W42" s="2"/>
      <c r="X42" s="2"/>
      <c r="Y42" s="92"/>
    </row>
    <row r="43" spans="1:25" s="6" customFormat="1" ht="12" customHeight="1" outlineLevel="1">
      <c r="A43" s="10" t="s">
        <v>107</v>
      </c>
      <c r="B43" s="157" t="str">
        <f>"Лазерные  методы в медицине"</f>
        <v>Лазерные  методы в медицине</v>
      </c>
      <c r="C43" s="2"/>
      <c r="D43" s="2">
        <v>5</v>
      </c>
      <c r="E43" s="85"/>
      <c r="F43" s="91"/>
      <c r="G43" s="2"/>
      <c r="H43" s="11">
        <v>50</v>
      </c>
      <c r="I43" s="2">
        <f aca="true" t="shared" si="2" ref="I43:I50">P43*$P$10+Q43*$Q$10+R43*$R$10+S43*$S$10+T43*$T$10+U43*$U$10+V43*$V$10+W43*$W$10+X43*$X$10</f>
        <v>36</v>
      </c>
      <c r="J43" s="2">
        <v>18</v>
      </c>
      <c r="K43" s="2">
        <v>18</v>
      </c>
      <c r="L43" s="2"/>
      <c r="M43" s="82"/>
      <c r="N43" s="2"/>
      <c r="O43" s="86">
        <f aca="true" t="shared" si="3" ref="O43:O50">H43-I43-N43</f>
        <v>14</v>
      </c>
      <c r="P43" s="40"/>
      <c r="Q43" s="92"/>
      <c r="R43" s="92"/>
      <c r="S43" s="165"/>
      <c r="T43" s="17">
        <v>2</v>
      </c>
      <c r="U43" s="92"/>
      <c r="V43" s="92"/>
      <c r="W43" s="92"/>
      <c r="X43" s="92"/>
      <c r="Y43" s="92"/>
    </row>
    <row r="44" spans="1:25" s="6" customFormat="1" ht="12" customHeight="1" outlineLevel="1">
      <c r="A44" s="10" t="s">
        <v>108</v>
      </c>
      <c r="B44" s="157" t="str">
        <f>"Ускорители и реакторы в медицине"</f>
        <v>Ускорители и реакторы в медицине</v>
      </c>
      <c r="C44" s="82"/>
      <c r="D44" s="2">
        <v>6</v>
      </c>
      <c r="E44" s="83"/>
      <c r="F44" s="91"/>
      <c r="G44" s="2"/>
      <c r="H44" s="11">
        <v>62</v>
      </c>
      <c r="I44" s="2">
        <f t="shared" si="2"/>
        <v>54</v>
      </c>
      <c r="J44" s="82">
        <v>36</v>
      </c>
      <c r="K44" s="82"/>
      <c r="L44" s="82">
        <v>18</v>
      </c>
      <c r="M44" s="82"/>
      <c r="N44" s="82"/>
      <c r="O44" s="86">
        <f t="shared" si="3"/>
        <v>8</v>
      </c>
      <c r="P44" s="40"/>
      <c r="Q44" s="79"/>
      <c r="R44" s="79"/>
      <c r="S44" s="164"/>
      <c r="T44" s="161"/>
      <c r="U44" s="79">
        <v>3</v>
      </c>
      <c r="V44" s="79"/>
      <c r="W44" s="79"/>
      <c r="X44" s="79"/>
      <c r="Y44" s="79"/>
    </row>
    <row r="45" spans="1:25" s="6" customFormat="1" ht="22.5" customHeight="1" outlineLevel="1">
      <c r="A45" s="10" t="s">
        <v>109</v>
      </c>
      <c r="B45" s="157" t="str">
        <f>"Компьютерные методы обработки медико-биологической информации"</f>
        <v>Компьютерные методы обработки медико-биологической информации</v>
      </c>
      <c r="C45" s="82"/>
      <c r="D45" s="2">
        <v>8</v>
      </c>
      <c r="E45" s="2">
        <v>8</v>
      </c>
      <c r="F45" s="148"/>
      <c r="G45" s="82"/>
      <c r="H45" s="77">
        <v>84</v>
      </c>
      <c r="I45" s="2">
        <f t="shared" si="2"/>
        <v>72</v>
      </c>
      <c r="J45" s="8">
        <v>36</v>
      </c>
      <c r="K45" s="82">
        <v>18</v>
      </c>
      <c r="L45" s="8">
        <v>18</v>
      </c>
      <c r="M45" s="82"/>
      <c r="N45" s="8">
        <v>6</v>
      </c>
      <c r="O45" s="86">
        <f t="shared" si="3"/>
        <v>6</v>
      </c>
      <c r="P45" s="79"/>
      <c r="Q45" s="79"/>
      <c r="R45" s="79"/>
      <c r="S45" s="164"/>
      <c r="T45" s="161"/>
      <c r="U45" s="79"/>
      <c r="V45" s="2"/>
      <c r="W45" s="79">
        <v>4</v>
      </c>
      <c r="X45" s="79"/>
      <c r="Y45" s="79"/>
    </row>
    <row r="46" spans="1:25" s="6" customFormat="1" ht="12" customHeight="1" outlineLevel="1">
      <c r="A46" s="10" t="s">
        <v>110</v>
      </c>
      <c r="B46" s="157" t="str">
        <f>"Общая патология"</f>
        <v>Общая патология</v>
      </c>
      <c r="C46" s="82"/>
      <c r="D46" s="2">
        <v>8</v>
      </c>
      <c r="E46" s="83"/>
      <c r="F46" s="91"/>
      <c r="G46" s="2"/>
      <c r="H46" s="77">
        <v>80</v>
      </c>
      <c r="I46" s="2">
        <f t="shared" si="2"/>
        <v>72</v>
      </c>
      <c r="J46" s="8">
        <v>36</v>
      </c>
      <c r="K46" s="82">
        <v>18</v>
      </c>
      <c r="L46" s="8">
        <v>18</v>
      </c>
      <c r="M46" s="82"/>
      <c r="N46" s="8"/>
      <c r="O46" s="86">
        <f t="shared" si="3"/>
        <v>8</v>
      </c>
      <c r="P46" s="79"/>
      <c r="Q46" s="79"/>
      <c r="R46" s="79"/>
      <c r="S46" s="164"/>
      <c r="T46" s="161"/>
      <c r="U46" s="79"/>
      <c r="V46" s="2"/>
      <c r="W46" s="79">
        <v>4</v>
      </c>
      <c r="X46" s="79"/>
      <c r="Y46" s="79"/>
    </row>
    <row r="47" spans="1:25" s="6" customFormat="1" ht="12" customHeight="1" outlineLevel="1">
      <c r="A47" s="10" t="s">
        <v>111</v>
      </c>
      <c r="B47" s="157" t="str">
        <f>"Рентгеновская компьютерная томография"</f>
        <v>Рентгеновская компьютерная томография</v>
      </c>
      <c r="C47" s="2"/>
      <c r="D47" s="83">
        <v>8</v>
      </c>
      <c r="E47" s="83"/>
      <c r="F47" s="91"/>
      <c r="G47" s="2"/>
      <c r="H47" s="77">
        <v>70</v>
      </c>
      <c r="I47" s="2">
        <f t="shared" si="2"/>
        <v>56</v>
      </c>
      <c r="J47" s="8">
        <v>28</v>
      </c>
      <c r="K47" s="82">
        <v>14</v>
      </c>
      <c r="L47" s="8">
        <v>14</v>
      </c>
      <c r="M47" s="82"/>
      <c r="N47" s="8"/>
      <c r="O47" s="86">
        <f t="shared" si="3"/>
        <v>14</v>
      </c>
      <c r="P47" s="79"/>
      <c r="Q47" s="79"/>
      <c r="R47" s="79"/>
      <c r="S47" s="164"/>
      <c r="T47" s="161"/>
      <c r="U47" s="79"/>
      <c r="V47" s="79"/>
      <c r="W47" s="2"/>
      <c r="X47" s="79">
        <v>4</v>
      </c>
      <c r="Y47" s="79"/>
    </row>
    <row r="48" spans="1:25" s="6" customFormat="1" ht="12" customHeight="1" outlineLevel="1">
      <c r="A48" s="10" t="s">
        <v>112</v>
      </c>
      <c r="B48" s="157" t="str">
        <f>"Ядерно-физические методы в медицине"</f>
        <v>Ядерно-физические методы в медицине</v>
      </c>
      <c r="C48" s="82"/>
      <c r="D48" s="2">
        <v>9</v>
      </c>
      <c r="E48" s="83">
        <v>9</v>
      </c>
      <c r="F48" s="91">
        <v>9</v>
      </c>
      <c r="G48" s="2"/>
      <c r="H48" s="77">
        <v>70</v>
      </c>
      <c r="I48" s="2">
        <f t="shared" si="2"/>
        <v>56</v>
      </c>
      <c r="J48" s="8">
        <v>28</v>
      </c>
      <c r="K48" s="82"/>
      <c r="L48" s="8">
        <v>28</v>
      </c>
      <c r="M48" s="82"/>
      <c r="N48" s="8">
        <v>6</v>
      </c>
      <c r="O48" s="86">
        <f t="shared" si="3"/>
        <v>8</v>
      </c>
      <c r="P48" s="79"/>
      <c r="Q48" s="79"/>
      <c r="R48" s="79"/>
      <c r="S48" s="164"/>
      <c r="T48" s="161"/>
      <c r="U48" s="79"/>
      <c r="V48" s="79"/>
      <c r="W48" s="2"/>
      <c r="X48" s="79">
        <v>4</v>
      </c>
      <c r="Y48" s="79"/>
    </row>
    <row r="49" spans="1:25" s="6" customFormat="1" ht="12" customHeight="1" outlineLevel="1">
      <c r="A49" s="10" t="s">
        <v>113</v>
      </c>
      <c r="B49" s="159" t="s">
        <v>138</v>
      </c>
      <c r="C49" s="82"/>
      <c r="D49" s="17">
        <v>9</v>
      </c>
      <c r="E49" s="83"/>
      <c r="F49" s="91"/>
      <c r="G49" s="2"/>
      <c r="H49" s="77">
        <v>70</v>
      </c>
      <c r="I49" s="2">
        <f t="shared" si="2"/>
        <v>56</v>
      </c>
      <c r="J49" s="8">
        <v>28</v>
      </c>
      <c r="K49" s="82">
        <v>14</v>
      </c>
      <c r="L49" s="8">
        <v>14</v>
      </c>
      <c r="M49" s="82"/>
      <c r="N49" s="8"/>
      <c r="O49" s="86">
        <f t="shared" si="3"/>
        <v>14</v>
      </c>
      <c r="P49" s="79"/>
      <c r="Q49" s="79"/>
      <c r="R49" s="79"/>
      <c r="S49" s="164"/>
      <c r="T49" s="161"/>
      <c r="U49" s="79"/>
      <c r="V49" s="79"/>
      <c r="W49" s="40"/>
      <c r="X49" s="79">
        <v>4</v>
      </c>
      <c r="Y49" s="79"/>
    </row>
    <row r="50" spans="1:25" s="6" customFormat="1" ht="12" customHeight="1" outlineLevel="1">
      <c r="A50" s="10" t="s">
        <v>113</v>
      </c>
      <c r="B50" s="95" t="str">
        <f>"Безопасность жизнедеятельности (БЖД)"</f>
        <v>Безопасность жизнедеятельности (БЖД)</v>
      </c>
      <c r="C50" s="2"/>
      <c r="D50" s="83">
        <v>6</v>
      </c>
      <c r="E50" s="83"/>
      <c r="F50" s="91"/>
      <c r="G50" s="2"/>
      <c r="H50" s="77">
        <v>66</v>
      </c>
      <c r="I50" s="2">
        <f t="shared" si="2"/>
        <v>54</v>
      </c>
      <c r="J50" s="8">
        <v>36</v>
      </c>
      <c r="K50" s="8"/>
      <c r="L50" s="8">
        <v>18</v>
      </c>
      <c r="M50" s="82"/>
      <c r="N50" s="8"/>
      <c r="O50" s="86">
        <f t="shared" si="3"/>
        <v>12</v>
      </c>
      <c r="P50" s="79"/>
      <c r="Q50" s="79"/>
      <c r="R50" s="79"/>
      <c r="S50" s="164"/>
      <c r="T50" s="161"/>
      <c r="U50" s="79">
        <v>3</v>
      </c>
      <c r="V50" s="79"/>
      <c r="W50" s="79"/>
      <c r="X50" s="79"/>
      <c r="Y50" s="79"/>
    </row>
    <row r="51" spans="1:25" s="6" customFormat="1" ht="12" customHeight="1" outlineLevel="1">
      <c r="A51" s="8"/>
      <c r="B51" s="81"/>
      <c r="C51" s="82"/>
      <c r="D51" s="2"/>
      <c r="E51" s="83"/>
      <c r="F51" s="91"/>
      <c r="G51" s="2"/>
      <c r="H51" s="77"/>
      <c r="I51" s="8"/>
      <c r="J51" s="8"/>
      <c r="K51" s="82"/>
      <c r="L51" s="8"/>
      <c r="M51" s="82"/>
      <c r="N51" s="8"/>
      <c r="O51" s="86"/>
      <c r="P51" s="152"/>
      <c r="Q51" s="82"/>
      <c r="R51" s="82"/>
      <c r="S51" s="166"/>
      <c r="T51" s="83"/>
      <c r="U51" s="82"/>
      <c r="V51" s="82"/>
      <c r="W51" s="82"/>
      <c r="X51" s="2"/>
      <c r="Y51" s="82"/>
    </row>
    <row r="52" s="6" customFormat="1" ht="12" customHeight="1" outlineLevel="1"/>
    <row r="53" spans="1:25" s="13" customFormat="1" ht="12" customHeight="1" outlineLevel="1">
      <c r="A53" s="3" t="s">
        <v>60</v>
      </c>
      <c r="B53" s="3"/>
      <c r="C53" s="3"/>
      <c r="D53" s="3"/>
      <c r="E53" s="43" t="s">
        <v>35</v>
      </c>
      <c r="F53" s="3"/>
      <c r="G53" s="3"/>
      <c r="H53" s="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s="13" customFormat="1" ht="12" customHeight="1" outlineLevel="1">
      <c r="A54" s="3"/>
      <c r="B54" s="3" t="s">
        <v>61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s="13" customFormat="1" ht="12" customHeight="1" outlineLevel="1">
      <c r="A55" s="3" t="s">
        <v>124</v>
      </c>
      <c r="B55" s="3"/>
      <c r="C55" s="3"/>
      <c r="D55" s="3"/>
      <c r="E55" s="44" t="s">
        <v>62</v>
      </c>
      <c r="F55" s="3"/>
      <c r="G55" s="3"/>
      <c r="H55" s="3"/>
      <c r="I55" s="3"/>
      <c r="J55" s="3"/>
      <c r="K55" s="3"/>
      <c r="L55" s="3" t="s">
        <v>37</v>
      </c>
      <c r="M55" s="3"/>
      <c r="N55" s="3"/>
      <c r="O55" s="3"/>
      <c r="P55" s="44" t="s">
        <v>38</v>
      </c>
      <c r="Q55" s="3"/>
      <c r="R55" s="3"/>
      <c r="S55" s="3"/>
      <c r="T55" s="3"/>
      <c r="U55" s="3"/>
      <c r="V55" s="3"/>
      <c r="W55" s="3"/>
      <c r="X55" s="3"/>
      <c r="Y55" s="3"/>
    </row>
    <row r="56" spans="1:25" s="13" customFormat="1" ht="12" customHeight="1" outlineLevel="1">
      <c r="A56" s="3"/>
      <c r="B56" s="3" t="s">
        <v>61</v>
      </c>
      <c r="C56" s="3"/>
      <c r="D56" s="3"/>
      <c r="E56" s="3" t="s">
        <v>39</v>
      </c>
      <c r="F56" s="3"/>
      <c r="G56" s="3"/>
      <c r="H56" s="3"/>
      <c r="I56" s="3"/>
      <c r="J56" s="3"/>
      <c r="K56" s="3"/>
      <c r="L56" s="3" t="s">
        <v>40</v>
      </c>
      <c r="M56" s="3"/>
      <c r="N56" s="3"/>
      <c r="O56" s="3"/>
      <c r="P56" s="3"/>
      <c r="Q56" s="3" t="s">
        <v>41</v>
      </c>
      <c r="R56" s="3"/>
      <c r="S56" s="3"/>
      <c r="T56" s="3"/>
      <c r="U56" s="3"/>
      <c r="V56" s="3"/>
      <c r="W56" s="3"/>
      <c r="X56" s="3"/>
      <c r="Y56" s="3"/>
    </row>
    <row r="57" spans="1:25" s="13" customFormat="1" ht="12" customHeight="1" outlineLevel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s="13" customFormat="1" ht="12" customHeight="1" outlineLevel="1">
      <c r="A58" s="3"/>
      <c r="B58" s="3"/>
      <c r="C58" s="3"/>
      <c r="D58" s="3"/>
      <c r="E58" s="44" t="s">
        <v>42</v>
      </c>
      <c r="F58" s="3"/>
      <c r="G58" s="3"/>
      <c r="H58" s="3"/>
      <c r="I58" s="3"/>
      <c r="J58" s="3"/>
      <c r="K58" s="3"/>
      <c r="L58" s="3" t="s">
        <v>37</v>
      </c>
      <c r="M58" s="3"/>
      <c r="N58" s="3"/>
      <c r="O58" s="3"/>
      <c r="P58" s="44" t="s">
        <v>43</v>
      </c>
      <c r="Q58" s="3"/>
      <c r="R58" s="3"/>
      <c r="S58" s="3"/>
      <c r="T58" s="3"/>
      <c r="U58" s="3"/>
      <c r="V58" s="3"/>
      <c r="W58" s="3"/>
      <c r="X58" s="3"/>
      <c r="Y58" s="3"/>
    </row>
    <row r="59" spans="1:25" s="13" customFormat="1" ht="12" customHeight="1" outlineLevel="1">
      <c r="A59" s="3"/>
      <c r="B59" s="3"/>
      <c r="C59" s="3"/>
      <c r="D59" s="3"/>
      <c r="E59" s="3" t="s">
        <v>39</v>
      </c>
      <c r="F59" s="3"/>
      <c r="G59" s="3"/>
      <c r="H59" s="3"/>
      <c r="I59" s="3"/>
      <c r="J59" s="3"/>
      <c r="K59" s="3"/>
      <c r="L59" s="3" t="s">
        <v>40</v>
      </c>
      <c r="M59" s="3"/>
      <c r="N59" s="3"/>
      <c r="O59" s="3"/>
      <c r="P59" s="3"/>
      <c r="Q59" s="3" t="s">
        <v>41</v>
      </c>
      <c r="R59" s="3"/>
      <c r="S59" s="3"/>
      <c r="T59" s="3"/>
      <c r="U59" s="3"/>
      <c r="V59" s="3"/>
      <c r="W59" s="3"/>
      <c r="X59" s="3"/>
      <c r="Y59" s="3"/>
    </row>
    <row r="60" spans="1:25" s="13" customFormat="1" ht="12" customHeight="1" outlineLevel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6" customFormat="1" ht="12" customHeight="1">
      <c r="A61" s="3"/>
      <c r="B61" s="3"/>
      <c r="C61" s="3"/>
      <c r="D61" s="3"/>
      <c r="E61" s="44" t="s">
        <v>63</v>
      </c>
      <c r="F61" s="3"/>
      <c r="G61" s="3"/>
      <c r="H61" s="3"/>
      <c r="I61" s="3"/>
      <c r="J61" s="3"/>
      <c r="K61" s="3"/>
      <c r="L61" s="3" t="s">
        <v>37</v>
      </c>
      <c r="M61" s="3"/>
      <c r="N61" s="3"/>
      <c r="O61" s="3"/>
      <c r="P61" s="44" t="s">
        <v>45</v>
      </c>
      <c r="Q61" s="3"/>
      <c r="R61" s="3"/>
      <c r="S61" s="3"/>
      <c r="T61" s="3"/>
      <c r="U61" s="3"/>
      <c r="V61" s="3"/>
      <c r="W61" s="3"/>
      <c r="X61" s="3"/>
      <c r="Y61" s="3"/>
    </row>
    <row r="62" spans="5:17" s="3" customFormat="1" ht="12">
      <c r="E62" s="3" t="s">
        <v>39</v>
      </c>
      <c r="L62" s="3" t="s">
        <v>40</v>
      </c>
      <c r="Q62" s="3" t="s">
        <v>41</v>
      </c>
    </row>
    <row r="63" s="3" customFormat="1" ht="12"/>
    <row r="64" spans="5:16" s="3" customFormat="1" ht="12">
      <c r="E64" s="44" t="s">
        <v>64</v>
      </c>
      <c r="L64" s="3" t="s">
        <v>37</v>
      </c>
      <c r="P64" s="44" t="s">
        <v>125</v>
      </c>
    </row>
    <row r="65" spans="5:17" s="3" customFormat="1" ht="12">
      <c r="E65" s="3" t="s">
        <v>39</v>
      </c>
      <c r="L65" s="3" t="s">
        <v>40</v>
      </c>
      <c r="Q65" s="3" t="s">
        <v>41</v>
      </c>
    </row>
    <row r="66" s="3" customFormat="1" ht="6" customHeight="1"/>
    <row r="67" spans="5:16" s="3" customFormat="1" ht="12">
      <c r="E67" s="44" t="s">
        <v>65</v>
      </c>
      <c r="L67" s="3" t="s">
        <v>37</v>
      </c>
      <c r="P67" s="44" t="s">
        <v>48</v>
      </c>
    </row>
    <row r="68" spans="5:17" s="3" customFormat="1" ht="12">
      <c r="E68" s="3" t="s">
        <v>39</v>
      </c>
      <c r="L68" s="3" t="s">
        <v>40</v>
      </c>
      <c r="Q68" s="3" t="s">
        <v>41</v>
      </c>
    </row>
    <row r="69" s="3" customFormat="1" ht="6" customHeight="1"/>
    <row r="70" spans="1:25" ht="12.75">
      <c r="A70" s="3"/>
      <c r="B70" s="3"/>
      <c r="C70" s="3"/>
      <c r="D70" s="3"/>
      <c r="E70" s="44"/>
      <c r="F70" s="3"/>
      <c r="G70" s="3"/>
      <c r="H70" s="3"/>
      <c r="I70" s="3"/>
      <c r="J70" s="3"/>
      <c r="K70" s="3"/>
      <c r="L70" s="3"/>
      <c r="M70" s="3"/>
      <c r="N70" s="3"/>
      <c r="O70" s="3"/>
      <c r="P70" s="44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7" ht="12.75">
      <c r="A73" s="3"/>
      <c r="B73" s="3"/>
      <c r="C73" s="3"/>
      <c r="D73" s="3"/>
      <c r="E73" s="44"/>
      <c r="F73" s="3"/>
      <c r="G73" s="3"/>
      <c r="H73" s="3"/>
      <c r="I73" s="3"/>
      <c r="J73" s="3"/>
      <c r="K73" s="3"/>
      <c r="L73" s="3"/>
      <c r="M73" s="3"/>
      <c r="N73" s="3"/>
      <c r="O73" s="3"/>
      <c r="P73" s="44"/>
      <c r="Q73" s="3"/>
      <c r="R73" s="3"/>
      <c r="S73" s="3"/>
      <c r="T73" s="3"/>
      <c r="U73" s="3"/>
      <c r="V73" s="3"/>
      <c r="W73" s="3"/>
      <c r="X73" s="3"/>
      <c r="Y73" s="3"/>
      <c r="Z73" s="6"/>
      <c r="AA73" s="6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44"/>
      <c r="F76" s="3"/>
      <c r="G76" s="3"/>
      <c r="H76" s="3"/>
      <c r="I76" s="3"/>
      <c r="J76" s="3"/>
      <c r="K76" s="3"/>
      <c r="L76" s="3"/>
      <c r="M76" s="3"/>
      <c r="N76" s="3"/>
      <c r="O76" s="3"/>
      <c r="P76" s="4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44"/>
      <c r="F79" s="3"/>
      <c r="G79" s="3"/>
      <c r="H79" s="3"/>
      <c r="I79" s="3"/>
      <c r="J79" s="3"/>
      <c r="K79" s="3"/>
      <c r="L79" s="3"/>
      <c r="M79" s="3"/>
      <c r="N79" s="3"/>
      <c r="O79" s="3"/>
      <c r="P79" s="4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6:27" ht="12.75">
      <c r="Z82" s="3"/>
      <c r="AA82" s="3"/>
    </row>
    <row r="83" spans="26:27" ht="12.75">
      <c r="Z83" s="3"/>
      <c r="AA83" s="3"/>
    </row>
    <row r="84" spans="26:27" ht="12.75">
      <c r="Z84" s="3"/>
      <c r="AA84" s="3"/>
    </row>
    <row r="85" spans="26:27" ht="12.75">
      <c r="Z85" s="3"/>
      <c r="AA85" s="3"/>
    </row>
    <row r="86" spans="26:27" ht="12.75">
      <c r="Z86" s="3"/>
      <c r="AA86" s="3"/>
    </row>
    <row r="87" spans="26:27" ht="12.75">
      <c r="Z87" s="3"/>
      <c r="AA87" s="3"/>
    </row>
    <row r="88" spans="26:27" ht="12.75">
      <c r="Z88" s="3"/>
      <c r="AA88" s="3"/>
    </row>
    <row r="89" spans="26:27" ht="12.75">
      <c r="Z89" s="3"/>
      <c r="AA89" s="3"/>
    </row>
    <row r="90" spans="26:27" ht="12.75">
      <c r="Z90" s="3"/>
      <c r="AA90" s="3"/>
    </row>
  </sheetData>
  <mergeCells count="51">
    <mergeCell ref="Y10:Y11"/>
    <mergeCell ref="T10:T11"/>
    <mergeCell ref="A5:A12"/>
    <mergeCell ref="O7:O12"/>
    <mergeCell ref="P12:Y12"/>
    <mergeCell ref="V10:V11"/>
    <mergeCell ref="U10:U11"/>
    <mergeCell ref="I8:I12"/>
    <mergeCell ref="J8:J12"/>
    <mergeCell ref="K8:K12"/>
    <mergeCell ref="R10:R11"/>
    <mergeCell ref="Q10:Q11"/>
    <mergeCell ref="X7:X8"/>
    <mergeCell ref="W10:W11"/>
    <mergeCell ref="X10:X11"/>
    <mergeCell ref="R7:R8"/>
    <mergeCell ref="S7:S8"/>
    <mergeCell ref="Y7:Y8"/>
    <mergeCell ref="P9:Y9"/>
    <mergeCell ref="P10:P11"/>
    <mergeCell ref="T7:T8"/>
    <mergeCell ref="U7:U8"/>
    <mergeCell ref="V7:V8"/>
    <mergeCell ref="W7:W8"/>
    <mergeCell ref="P7:P8"/>
    <mergeCell ref="Q7:Q8"/>
    <mergeCell ref="S10:S11"/>
    <mergeCell ref="P5:Y5"/>
    <mergeCell ref="P6:Q6"/>
    <mergeCell ref="R6:S6"/>
    <mergeCell ref="T6:U6"/>
    <mergeCell ref="V6:W6"/>
    <mergeCell ref="X6:Y6"/>
    <mergeCell ref="G6:G12"/>
    <mergeCell ref="G5:O5"/>
    <mergeCell ref="B5:B12"/>
    <mergeCell ref="F7:F12"/>
    <mergeCell ref="L8:L12"/>
    <mergeCell ref="M8:M12"/>
    <mergeCell ref="H6:O6"/>
    <mergeCell ref="H7:H12"/>
    <mergeCell ref="I7:M7"/>
    <mergeCell ref="N7:N12"/>
    <mergeCell ref="C7:C12"/>
    <mergeCell ref="D7:D12"/>
    <mergeCell ref="E7:E12"/>
    <mergeCell ref="C5:F6"/>
    <mergeCell ref="A2:Y2"/>
    <mergeCell ref="A3:Y3"/>
    <mergeCell ref="A1:Y1"/>
    <mergeCell ref="A4:Y4"/>
  </mergeCells>
  <printOptions/>
  <pageMargins left="0" right="0.5905511811023623" top="0.5905511811023623" bottom="0.5905511811023623" header="0.5118110236220472" footer="1.53543307086614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Khokonov</dc:creator>
  <cp:keywords/>
  <dc:description/>
  <cp:lastModifiedBy>k</cp:lastModifiedBy>
  <cp:lastPrinted>2001-07-11T09:45:20Z</cp:lastPrinted>
  <dcterms:created xsi:type="dcterms:W3CDTF">1999-12-12T20:50:29Z</dcterms:created>
  <dcterms:modified xsi:type="dcterms:W3CDTF">2002-05-21T08:46:38Z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